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55" windowWidth="15480" windowHeight="8310" firstSheet="4" activeTab="4"/>
  </bookViews>
  <sheets>
    <sheet name="institution" sheetId="1" r:id="rId1"/>
    <sheet name="site" sheetId="2" r:id="rId2"/>
    <sheet name="experimental conditions" sheetId="3" r:id="rId3"/>
    <sheet name="weather data" sheetId="4" r:id="rId4"/>
    <sheet name="Data matrix" sheetId="5" r:id="rId5"/>
    <sheet name="Lab descriptors of grain qualit" sheetId="6" r:id="rId6"/>
    <sheet name="Lab descriptors of grain qu (2)" sheetId="7" r:id="rId7"/>
    <sheet name="Agronomic traits" sheetId="8" r:id="rId8"/>
    <sheet name="Field plant descriptors" sheetId="9" r:id="rId9"/>
    <sheet name="Diseases (blast)" sheetId="10" r:id="rId10"/>
    <sheet name="Field grain descriptors" sheetId="11" r:id="rId11"/>
    <sheet name="Graphs Agronomic traits" sheetId="12" r:id="rId12"/>
    <sheet name="Graphs Field plant descriptors" sheetId="13" r:id="rId13"/>
    <sheet name="Graphs Lab descriptors" sheetId="14" r:id="rId14"/>
    <sheet name="EvaluationMethod" sheetId="15" r:id="rId15"/>
  </sheets>
  <definedNames/>
  <calcPr fullCalcOnLoad="1"/>
</workbook>
</file>

<file path=xl/sharedStrings.xml><?xml version="1.0" encoding="utf-8"?>
<sst xmlns="http://schemas.openxmlformats.org/spreadsheetml/2006/main" count="2391" uniqueCount="438">
  <si>
    <t>Principle investigator</t>
  </si>
  <si>
    <t>Dataset name</t>
  </si>
  <si>
    <t>Institute</t>
  </si>
  <si>
    <t>Creation Date</t>
  </si>
  <si>
    <t>Email contact</t>
  </si>
  <si>
    <t>Remark</t>
  </si>
  <si>
    <t>Version</t>
  </si>
  <si>
    <t>Experimental Design</t>
  </si>
  <si>
    <t>Secondary Admin Subdivision</t>
  </si>
  <si>
    <t>Country</t>
  </si>
  <si>
    <t>Locality</t>
  </si>
  <si>
    <t>Site ID</t>
  </si>
  <si>
    <t>Name experimental site</t>
  </si>
  <si>
    <t>Primary Admin Subdivision</t>
  </si>
  <si>
    <t>Elevation</t>
  </si>
  <si>
    <t>Latitude</t>
  </si>
  <si>
    <t>Longitude</t>
  </si>
  <si>
    <t>Sowing date</t>
  </si>
  <si>
    <t>EXPERIMENTAL SITE DESCRIPTION</t>
  </si>
  <si>
    <t>INSTITUTION</t>
  </si>
  <si>
    <t>Purpose of the experiment</t>
  </si>
  <si>
    <t>CONDITIONS OF THE EXPERIMENT</t>
  </si>
  <si>
    <t>Factors studied</t>
  </si>
  <si>
    <t>mm</t>
  </si>
  <si>
    <t>%</t>
  </si>
  <si>
    <t>°C</t>
  </si>
  <si>
    <t>ETP</t>
  </si>
  <si>
    <t>WEATHER  DATA</t>
  </si>
  <si>
    <t>m/s</t>
  </si>
  <si>
    <t>Unit</t>
  </si>
  <si>
    <t>Plot size (m2)</t>
  </si>
  <si>
    <t>Rainfall</t>
  </si>
  <si>
    <t>Average minimum temperature</t>
  </si>
  <si>
    <t>Average maximum temperature</t>
  </si>
  <si>
    <t>Humidity</t>
  </si>
  <si>
    <t>Radiation</t>
  </si>
  <si>
    <t>Wind</t>
  </si>
  <si>
    <t>Portugal</t>
  </si>
  <si>
    <t>Salvaterra de Magos</t>
  </si>
  <si>
    <t>COTArroz</t>
  </si>
  <si>
    <t>JUNE</t>
  </si>
  <si>
    <t>JULY</t>
  </si>
  <si>
    <t>AUGUST</t>
  </si>
  <si>
    <t>SEPTEMBER</t>
  </si>
  <si>
    <t>OCTOBER</t>
  </si>
  <si>
    <t>NOVEMBER</t>
  </si>
  <si>
    <t>Second year - 2008</t>
  </si>
  <si>
    <t>Paúl de Magos</t>
  </si>
  <si>
    <t xml:space="preserve">Line sowing by machine </t>
  </si>
  <si>
    <t>W/m2</t>
  </si>
  <si>
    <t>ITQB</t>
  </si>
  <si>
    <t>Prof. Margarida Oliveira</t>
  </si>
  <si>
    <t>mmolive@itqb.unl.pt</t>
  </si>
  <si>
    <t>Agronomic traits; Field plant descriptors; Diseases; Field grain descriptors; Lab descriptors of grain quality</t>
  </si>
  <si>
    <t>Remarks</t>
  </si>
  <si>
    <t>N 39º 26'</t>
  </si>
  <si>
    <t>E 8º 78'</t>
  </si>
  <si>
    <t>Agronomic traits</t>
  </si>
  <si>
    <t>Field plant descriptors</t>
  </si>
  <si>
    <t>Diseases</t>
  </si>
  <si>
    <t>Insects</t>
  </si>
  <si>
    <t>Blast resistance</t>
  </si>
  <si>
    <t>Abiotic stress tolerance</t>
  </si>
  <si>
    <t>Field grain descriptors</t>
  </si>
  <si>
    <t>Lab descriptors of grain quality</t>
  </si>
  <si>
    <t>Early vegetative vigor</t>
  </si>
  <si>
    <t>Tillering ability</t>
  </si>
  <si>
    <t>Days to flowering</t>
  </si>
  <si>
    <t>Days to maturity</t>
  </si>
  <si>
    <t>Plant height</t>
  </si>
  <si>
    <t>Lodging resistance</t>
  </si>
  <si>
    <t>Panicle exsertion</t>
  </si>
  <si>
    <t>Shattering</t>
  </si>
  <si>
    <t>Leaf angle</t>
  </si>
  <si>
    <t>Leaf width</t>
  </si>
  <si>
    <t>Flag leaf angle</t>
  </si>
  <si>
    <t>Panicle type</t>
  </si>
  <si>
    <t>Panicle length</t>
  </si>
  <si>
    <t>Culm diameter</t>
  </si>
  <si>
    <t>Leaf blast</t>
  </si>
  <si>
    <t>Panicle blast</t>
  </si>
  <si>
    <t>Neck blast</t>
  </si>
  <si>
    <t>Fusarium</t>
  </si>
  <si>
    <t>Brown spot</t>
  </si>
  <si>
    <t>Sclerotinia</t>
  </si>
  <si>
    <t>Sesamia</t>
  </si>
  <si>
    <t>Chilo</t>
  </si>
  <si>
    <t>Inoculation with FR13, PR9, IT10, ES6, PR14, CM28, CD49, TH12, CH72, CL18</t>
  </si>
  <si>
    <t>Salinity tolerance</t>
  </si>
  <si>
    <t>Apiculus color</t>
  </si>
  <si>
    <t>Lemma and palea pubescence</t>
  </si>
  <si>
    <t>Sterile lemma length</t>
  </si>
  <si>
    <t>Awning</t>
  </si>
  <si>
    <t>Lemma and palea color</t>
  </si>
  <si>
    <t>Paddy grain length (mm)</t>
  </si>
  <si>
    <t>Paddy grain width (mm)</t>
  </si>
  <si>
    <t>Paddy grain shape (ratio l/w)</t>
  </si>
  <si>
    <t>Cargo grain length (mm)</t>
  </si>
  <si>
    <t>Cargo grain width (mm)</t>
  </si>
  <si>
    <t>Cargo grain shape (ratio l/w)</t>
  </si>
  <si>
    <t>EU classification</t>
  </si>
  <si>
    <t>Thousand grain weight (g)</t>
  </si>
  <si>
    <t>Milling yield</t>
  </si>
  <si>
    <t>Percentage of head rice</t>
  </si>
  <si>
    <t>Apparent amylose content</t>
  </si>
  <si>
    <t>Proteins</t>
  </si>
  <si>
    <t>Alkali digestion - Qualitative</t>
  </si>
  <si>
    <t>Alkali digestion (according to SES)</t>
  </si>
  <si>
    <t>%  chalky grains</t>
  </si>
  <si>
    <t>Chalkiness of endosperm</t>
  </si>
  <si>
    <t>Chalkiness of endosperm (according to SES)</t>
  </si>
  <si>
    <t>Gelatinization temperature</t>
  </si>
  <si>
    <t>Variety</t>
  </si>
  <si>
    <t>Average</t>
  </si>
  <si>
    <t>StandDev</t>
  </si>
  <si>
    <t>Classification</t>
  </si>
  <si>
    <t>Lenght average</t>
  </si>
  <si>
    <t>ratio of average</t>
  </si>
  <si>
    <t>average of ratio</t>
  </si>
  <si>
    <t>a)</t>
  </si>
  <si>
    <t>b)</t>
  </si>
  <si>
    <t>c)</t>
  </si>
  <si>
    <t>KORAL</t>
  </si>
  <si>
    <t>ARIETE</t>
  </si>
  <si>
    <t>LOTO</t>
  </si>
  <si>
    <t>SELENIO</t>
  </si>
  <si>
    <t>GOLFO</t>
  </si>
  <si>
    <t>MARTA</t>
  </si>
  <si>
    <t>PLUS</t>
  </si>
  <si>
    <t>104 UPLA</t>
  </si>
  <si>
    <t>32 UPLA</t>
  </si>
  <si>
    <t>MEDUSA</t>
  </si>
  <si>
    <t>ORIONE</t>
  </si>
  <si>
    <t>ARIANA</t>
  </si>
  <si>
    <t>BRAZOS</t>
  </si>
  <si>
    <t>CENTURY PATNA</t>
  </si>
  <si>
    <t>DAWN CI 9534</t>
  </si>
  <si>
    <t>GOOLARAH</t>
  </si>
  <si>
    <t>HARRA</t>
  </si>
  <si>
    <t>PELDE</t>
  </si>
  <si>
    <t>BAHIA</t>
  </si>
  <si>
    <t>BOMBA</t>
  </si>
  <si>
    <t>BOMBILLA</t>
  </si>
  <si>
    <t>BOMBON</t>
  </si>
  <si>
    <t>CLOT</t>
  </si>
  <si>
    <t>COLINA</t>
  </si>
  <si>
    <t>FRANCES</t>
  </si>
  <si>
    <t>LUNA</t>
  </si>
  <si>
    <t>PEGONIL</t>
  </si>
  <si>
    <t>SENIA</t>
  </si>
  <si>
    <t>N 3</t>
  </si>
  <si>
    <t>SR 113</t>
  </si>
  <si>
    <t>FLIPPER</t>
  </si>
  <si>
    <t>SAVIO</t>
  </si>
  <si>
    <t>BELLE PATNA</t>
  </si>
  <si>
    <t>BLUE BONNET</t>
  </si>
  <si>
    <t>BOND</t>
  </si>
  <si>
    <t>KATY</t>
  </si>
  <si>
    <t>THAIPERLA</t>
  </si>
  <si>
    <t>CARINA</t>
  </si>
  <si>
    <t>SANDOCA</t>
  </si>
  <si>
    <t>SUWEON 280</t>
  </si>
  <si>
    <t>TORIO</t>
  </si>
  <si>
    <t>SAN ANDREA</t>
  </si>
  <si>
    <t>KULON</t>
  </si>
  <si>
    <t>CT 23</t>
  </si>
  <si>
    <t>CT 36</t>
  </si>
  <si>
    <t>ZHEN SHANG 97</t>
  </si>
  <si>
    <t>YRM 6-2</t>
  </si>
  <si>
    <t>GARDE SADRI 79015</t>
  </si>
  <si>
    <t>CIGALON</t>
  </si>
  <si>
    <t>CALENDAL</t>
  </si>
  <si>
    <t>ARLESIENNE</t>
  </si>
  <si>
    <t>AUZGUSTA</t>
  </si>
  <si>
    <t>ESTRELA</t>
  </si>
  <si>
    <t>FIDJI</t>
  </si>
  <si>
    <t>A 201</t>
  </si>
  <si>
    <t>A 301</t>
  </si>
  <si>
    <t>ADAIR</t>
  </si>
  <si>
    <t>ALAN</t>
  </si>
  <si>
    <t>AUGUSTO</t>
  </si>
  <si>
    <t>BENGAL</t>
  </si>
  <si>
    <t>CALMOCHI 101</t>
  </si>
  <si>
    <t>COCODRIE</t>
  </si>
  <si>
    <t>DELLMONT</t>
  </si>
  <si>
    <t>DELLROSE</t>
  </si>
  <si>
    <t>DIXIEBELL</t>
  </si>
  <si>
    <t>N/A</t>
  </si>
  <si>
    <t>DREW</t>
  </si>
  <si>
    <t>FRAGRANCE</t>
  </si>
  <si>
    <t>GLADIO</t>
  </si>
  <si>
    <t>JACINTO</t>
  </si>
  <si>
    <t>JEFFERSON</t>
  </si>
  <si>
    <t>KING</t>
  </si>
  <si>
    <t>KYEEMA</t>
  </si>
  <si>
    <t>THAIBONNET</t>
  </si>
  <si>
    <t>L 204</t>
  </si>
  <si>
    <t>L 205</t>
  </si>
  <si>
    <t>LACASSINE</t>
  </si>
  <si>
    <t>LAGRUE</t>
  </si>
  <si>
    <t>LUXOR</t>
  </si>
  <si>
    <t>M 202</t>
  </si>
  <si>
    <t>M 204</t>
  </si>
  <si>
    <t>MAYBELLE</t>
  </si>
  <si>
    <t>OPALE</t>
  </si>
  <si>
    <t>PECOS</t>
  </si>
  <si>
    <t>REXMONT</t>
  </si>
  <si>
    <t>S 101</t>
  </si>
  <si>
    <t>S 102</t>
  </si>
  <si>
    <t>SALVO</t>
  </si>
  <si>
    <t>TEXMONT</t>
  </si>
  <si>
    <t>ESTRELA A IRRADIADO 874</t>
  </si>
  <si>
    <t>LUSITO IRRADIADO 859-85-2</t>
  </si>
  <si>
    <t>ALEXANDROS</t>
  </si>
  <si>
    <t>DIMITRA</t>
  </si>
  <si>
    <t>GIZA 177</t>
  </si>
  <si>
    <t>GIZA 178</t>
  </si>
  <si>
    <t>GRAAL</t>
  </si>
  <si>
    <t>MELAS</t>
  </si>
  <si>
    <t>MERLE</t>
  </si>
  <si>
    <t>ROXANI</t>
  </si>
  <si>
    <t>SAKHA 102</t>
  </si>
  <si>
    <t>SAKHA 103</t>
  </si>
  <si>
    <t>CENTAURO</t>
  </si>
  <si>
    <t>CRESO</t>
  </si>
  <si>
    <t>EUROSIS</t>
  </si>
  <si>
    <t>SIS R215</t>
  </si>
  <si>
    <t>GALILEO</t>
  </si>
  <si>
    <t>KARNAK</t>
  </si>
  <si>
    <t>NEMBO</t>
  </si>
  <si>
    <t>TEJO</t>
  </si>
  <si>
    <t>SCUDO</t>
  </si>
  <si>
    <t>ERCOLE</t>
  </si>
  <si>
    <t>89 A x HVA 6</t>
  </si>
  <si>
    <t>89-AXHVA-6</t>
  </si>
  <si>
    <t>ARROYO GRANDE</t>
  </si>
  <si>
    <t>BELOZEM</t>
  </si>
  <si>
    <t>CHACARERO FA-EEA-572</t>
  </si>
  <si>
    <t>DORADO</t>
  </si>
  <si>
    <t>GUITA</t>
  </si>
  <si>
    <t>IR 47686-9-4-1</t>
  </si>
  <si>
    <t>IR 55549-1-2</t>
  </si>
  <si>
    <t>IR 56381-139-2-2</t>
  </si>
  <si>
    <t>LA PLATA GUALEJAN  FA-EEA-1821</t>
  </si>
  <si>
    <t xml:space="preserve">Maximum </t>
  </si>
  <si>
    <t>Minimum</t>
  </si>
  <si>
    <t>Lemma and palea colour</t>
  </si>
  <si>
    <t>Paddy grain length</t>
  </si>
  <si>
    <t>Paddy grain width</t>
  </si>
  <si>
    <t>Cargo grain length</t>
  </si>
  <si>
    <t>Cargo grain width</t>
  </si>
  <si>
    <t>Thousand grain weight</t>
  </si>
  <si>
    <t>Milled grain weight</t>
  </si>
  <si>
    <t>Head rice weight</t>
  </si>
  <si>
    <t>1-3</t>
  </si>
  <si>
    <t>3-5</t>
  </si>
  <si>
    <t>Alkali digestion (28ºC)</t>
  </si>
  <si>
    <t>shape</t>
  </si>
  <si>
    <t>3-4</t>
  </si>
  <si>
    <t>4-5</t>
  </si>
  <si>
    <t>line</t>
  </si>
  <si>
    <t>5-6</t>
  </si>
  <si>
    <t>6-7</t>
  </si>
  <si>
    <t>ball</t>
  </si>
  <si>
    <t>diffuse</t>
  </si>
  <si>
    <t>1-2</t>
  </si>
  <si>
    <t xml:space="preserve">  </t>
  </si>
  <si>
    <t>Germination start:</t>
  </si>
  <si>
    <t>Day of flowering</t>
  </si>
  <si>
    <t>Day of maturity</t>
  </si>
  <si>
    <t>Obs.</t>
  </si>
  <si>
    <t>2-3</t>
  </si>
  <si>
    <t>Test (Maratelli)</t>
  </si>
  <si>
    <t>Absent</t>
  </si>
  <si>
    <t>Glabrous</t>
  </si>
  <si>
    <t xml:space="preserve">Short </t>
  </si>
  <si>
    <t>Present</t>
  </si>
  <si>
    <t>Glabrous-Short hairs</t>
  </si>
  <si>
    <t>Medium</t>
  </si>
  <si>
    <t>Absent-Very short</t>
  </si>
  <si>
    <t>Short hairs</t>
  </si>
  <si>
    <t>Long</t>
  </si>
  <si>
    <t>Very short</t>
  </si>
  <si>
    <t>Short hairs-Long hairs</t>
  </si>
  <si>
    <t>Very short-Short</t>
  </si>
  <si>
    <t>Long hairs</t>
  </si>
  <si>
    <t>Short</t>
  </si>
  <si>
    <t>Short-Long</t>
  </si>
  <si>
    <t>Long-Very long</t>
  </si>
  <si>
    <t>Very long</t>
  </si>
  <si>
    <t>125 to 130</t>
  </si>
  <si>
    <t>155 to 160</t>
  </si>
  <si>
    <t>None</t>
  </si>
  <si>
    <t>Well exserted</t>
  </si>
  <si>
    <t>Very low</t>
  </si>
  <si>
    <t>120 to 125</t>
  </si>
  <si>
    <t>150 to 155</t>
  </si>
  <si>
    <t>Low</t>
  </si>
  <si>
    <t>Well exserted-Moderalety well exserted</t>
  </si>
  <si>
    <t>Very low-Low</t>
  </si>
  <si>
    <t>115 to 120</t>
  </si>
  <si>
    <t>145 to 150</t>
  </si>
  <si>
    <t>Moderately well exserted</t>
  </si>
  <si>
    <t>110 to 115</t>
  </si>
  <si>
    <t>140 to 145</t>
  </si>
  <si>
    <t>Medium-High</t>
  </si>
  <si>
    <t>Moderatly well exserted-Just excerted</t>
  </si>
  <si>
    <t>Low-Medium</t>
  </si>
  <si>
    <t>105 to 110</t>
  </si>
  <si>
    <t>135 to 140</t>
  </si>
  <si>
    <t>High</t>
  </si>
  <si>
    <t>Just exserted</t>
  </si>
  <si>
    <t>100 to 105</t>
  </si>
  <si>
    <t>130 to 135</t>
  </si>
  <si>
    <t>High-Very high</t>
  </si>
  <si>
    <t>Just exserted-Partly exserted</t>
  </si>
  <si>
    <t>95 to 100</t>
  </si>
  <si>
    <t>Very high</t>
  </si>
  <si>
    <t>Partly exserted</t>
  </si>
  <si>
    <t>90 to 95</t>
  </si>
  <si>
    <t>Partly exserted-Enclosed</t>
  </si>
  <si>
    <t>85 to 90</t>
  </si>
  <si>
    <t>Enclosed</t>
  </si>
  <si>
    <t>80 to 85</t>
  </si>
  <si>
    <t>75 to 80</t>
  </si>
  <si>
    <t>70 to 75</t>
  </si>
  <si>
    <t>Erect</t>
  </si>
  <si>
    <t>Compact</t>
  </si>
  <si>
    <t>Thin</t>
  </si>
  <si>
    <t>Erect-Horizontal</t>
  </si>
  <si>
    <t>Erect-Intermediate</t>
  </si>
  <si>
    <t>Compact-Intermediate</t>
  </si>
  <si>
    <t>Thin-Medium</t>
  </si>
  <si>
    <t>Horizontal</t>
  </si>
  <si>
    <t>Intermediate</t>
  </si>
  <si>
    <t>Horizontal-Droopy</t>
  </si>
  <si>
    <t>Intermediate-Horizontal</t>
  </si>
  <si>
    <t>Intermediate-Open</t>
  </si>
  <si>
    <t>Medium-Thick</t>
  </si>
  <si>
    <t>Droopy</t>
  </si>
  <si>
    <t>Open</t>
  </si>
  <si>
    <t>Thick</t>
  </si>
  <si>
    <t>Horizontal-Descending</t>
  </si>
  <si>
    <t>Descending</t>
  </si>
  <si>
    <t>c</t>
  </si>
  <si>
    <t>Alkali digestion</t>
  </si>
  <si>
    <t>Straw</t>
  </si>
  <si>
    <t>90% to 100%</t>
  </si>
  <si>
    <t>Straw-Gold</t>
  </si>
  <si>
    <t>Low/Intermediate</t>
  </si>
  <si>
    <t>80% to 90%</t>
  </si>
  <si>
    <t>Small</t>
  </si>
  <si>
    <t>Round</t>
  </si>
  <si>
    <t>Gold</t>
  </si>
  <si>
    <t>70% to 80%</t>
  </si>
  <si>
    <t>Brown/Reddish</t>
  </si>
  <si>
    <t>Intermediate-High</t>
  </si>
  <si>
    <t>60% to 70%</t>
  </si>
  <si>
    <t>Large</t>
  </si>
  <si>
    <t>Long A</t>
  </si>
  <si>
    <t>50% to 60%</t>
  </si>
  <si>
    <t>Very large</t>
  </si>
  <si>
    <t>Long B</t>
  </si>
  <si>
    <t>40% to 50%</t>
  </si>
  <si>
    <t>30% to 40%</t>
  </si>
  <si>
    <t>20% to 30%</t>
  </si>
  <si>
    <t>10% to 20%</t>
  </si>
  <si>
    <t>0% to 10%</t>
  </si>
  <si>
    <t>- Maratelli was used as control for the blast assay</t>
  </si>
  <si>
    <t>- Missing the caracterization of the following parameters:</t>
  </si>
  <si>
    <t>Evaluation of morfophysiological traits</t>
  </si>
  <si>
    <t>- Check varieties:</t>
  </si>
  <si>
    <t>Fertilization:</t>
  </si>
  <si>
    <r>
      <t>Herbicide:</t>
    </r>
    <r>
      <rPr>
        <sz val="20"/>
        <color indexed="10"/>
        <rFont val="Arial"/>
        <family val="2"/>
      </rPr>
      <t xml:space="preserve"> </t>
    </r>
  </si>
  <si>
    <r>
      <t>-</t>
    </r>
    <r>
      <rPr>
        <b/>
        <sz val="10"/>
        <rFont val="Arial"/>
        <family val="2"/>
      </rPr>
      <t xml:space="preserve"> April 1st </t>
    </r>
    <r>
      <rPr>
        <sz val="10"/>
        <rFont val="Arial"/>
        <family val="2"/>
      </rPr>
      <t xml:space="preserve">- Glyphosate 6 l/ha </t>
    </r>
  </si>
  <si>
    <r>
      <t>-</t>
    </r>
    <r>
      <rPr>
        <b/>
        <sz val="10"/>
        <rFont val="Arial"/>
        <family val="2"/>
      </rPr>
      <t xml:space="preserve"> July 11th </t>
    </r>
    <r>
      <rPr>
        <sz val="10"/>
        <rFont val="Arial"/>
        <family val="2"/>
      </rPr>
      <t xml:space="preserve">-  Propanil + MCPA: 18 l/ha + 0.5 l/ha </t>
    </r>
  </si>
  <si>
    <r>
      <t xml:space="preserve">- July 23th - </t>
    </r>
    <r>
      <rPr>
        <sz val="10"/>
        <rFont val="Arial"/>
        <family val="2"/>
      </rPr>
      <t>Cover : Urea 130 kg/ha (46% N)</t>
    </r>
  </si>
  <si>
    <r>
      <t>-</t>
    </r>
    <r>
      <rPr>
        <b/>
        <sz val="10"/>
        <rFont val="Arial"/>
        <family val="2"/>
      </rPr>
      <t xml:space="preserve"> August 1st </t>
    </r>
    <r>
      <rPr>
        <sz val="10"/>
        <rFont val="Arial"/>
        <family val="2"/>
      </rPr>
      <t xml:space="preserve">-  Propanil + MCPA: 18 l/ha + 0.5 l/ha </t>
    </r>
  </si>
  <si>
    <t>two lines of 3.4 m long (area of 2 m2)</t>
  </si>
  <si>
    <t>June 5th, 2008</t>
  </si>
  <si>
    <r>
      <t xml:space="preserve">- May 12th - </t>
    </r>
    <r>
      <rPr>
        <sz val="10"/>
        <rFont val="Arial"/>
        <family val="2"/>
      </rPr>
      <t>Background: 20:7:10 (N:P:K)  300 kg/ha fertilizer</t>
    </r>
  </si>
  <si>
    <t>Did not reach the grain maturity:</t>
  </si>
  <si>
    <t>Plant height (cm)</t>
  </si>
  <si>
    <t/>
  </si>
  <si>
    <t>Companhia das Lezírias</t>
  </si>
  <si>
    <t>Porto Alto</t>
  </si>
  <si>
    <t>Baracha</t>
  </si>
  <si>
    <t>N 38º52'559</t>
  </si>
  <si>
    <t>N 39º26'</t>
  </si>
  <si>
    <t>W 8º52'277</t>
  </si>
  <si>
    <t>E 8º78'</t>
  </si>
  <si>
    <t>Salinity field</t>
  </si>
  <si>
    <t>Control conditions</t>
  </si>
  <si>
    <t xml:space="preserve"> -- SALINITY EXPERIMENTS -- </t>
  </si>
  <si>
    <t>Screening for salinity tolerance</t>
  </si>
  <si>
    <t>Randomized blocks - two repeats</t>
  </si>
  <si>
    <t>Phenotypic response</t>
  </si>
  <si>
    <t>May 28th of 2008</t>
  </si>
  <si>
    <t>Soil salinity</t>
  </si>
  <si>
    <t>Salinity field (Companhia das Lezírias)</t>
  </si>
  <si>
    <t>Control conditions (COTArroz)</t>
  </si>
  <si>
    <t>May 8th - 1.5dS/m</t>
  </si>
  <si>
    <t>June 16th - 0.4dS/m</t>
  </si>
  <si>
    <t>July 8th - 3.0dS/m</t>
  </si>
  <si>
    <t>September 8th - 0.5dS/m</t>
  </si>
  <si>
    <t>September 8th - 4.0dS/m</t>
  </si>
  <si>
    <t>SALINITY</t>
  </si>
  <si>
    <t>Best performance</t>
  </si>
  <si>
    <t>+</t>
  </si>
  <si>
    <t>Average mean of survivors</t>
  </si>
  <si>
    <t>- Some varieties did not produce enough grain to be fully caracterized:</t>
  </si>
  <si>
    <t xml:space="preserve">BLUE BONNET;  SUWEON 280; ORIONE; GOOLARAH; </t>
  </si>
  <si>
    <t>BOMBON; N 3; AUZGUSTA;</t>
  </si>
  <si>
    <r>
      <t xml:space="preserve">Did not flower: </t>
    </r>
    <r>
      <rPr>
        <sz val="10"/>
        <rFont val="Arial"/>
        <family val="2"/>
      </rPr>
      <t>BLUE BONNET; SUWEON 280</t>
    </r>
  </si>
  <si>
    <t>EVALUATION SYSTEM USED IN THE RESGEN CT95-37 PROJECT; ONTOLOGY (UPOV AND SES)</t>
  </si>
  <si>
    <t>ONTOLOGY</t>
  </si>
  <si>
    <t>Group of traits</t>
  </si>
  <si>
    <t>Trait name</t>
  </si>
  <si>
    <t>Type</t>
  </si>
  <si>
    <t>Scoring method</t>
  </si>
  <si>
    <t>UPOV_code</t>
  </si>
  <si>
    <t>SES_code</t>
  </si>
  <si>
    <t>Possible attribute</t>
  </si>
  <si>
    <t>QUANT</t>
  </si>
  <si>
    <t>cm</t>
  </si>
  <si>
    <t>QUAL</t>
  </si>
  <si>
    <t xml:space="preserve">absent (1); present (9) </t>
  </si>
  <si>
    <t>absent; weak; medium; strong; very strong</t>
  </si>
  <si>
    <t>glabrous (1); short hairs (5); long hairs (9)</t>
  </si>
  <si>
    <t>short (1); long (5)</t>
  </si>
  <si>
    <t>absent (1); very short (3); short (5); long (7); very long (9)</t>
  </si>
  <si>
    <t>straw (1); gold (3);  (5);  (7);  (9)</t>
  </si>
  <si>
    <t>straw; gold; red; purple</t>
  </si>
  <si>
    <t>g</t>
  </si>
  <si>
    <t>&lt;5%; 5-10%;11-15%;16-20%; 21-25%; 26-30%; &gt;30%</t>
  </si>
  <si>
    <t>low (1), intermediate (5), high (9)</t>
  </si>
  <si>
    <t>not digested; low digested; intermediate; completely digested</t>
  </si>
  <si>
    <t>none (1); small (3; medium (5); large (7-9)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</si>
</sst>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;@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6"/>
      <name val="Small Fonts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30"/>
      <name val="Arial"/>
      <family val="2"/>
    </font>
    <font>
      <sz val="20"/>
      <color indexed="10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4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9.75"/>
      <color indexed="8"/>
      <name val="Arial"/>
      <family val="2"/>
    </font>
    <font>
      <b/>
      <sz val="11.25"/>
      <color indexed="8"/>
      <name val="Arial"/>
      <family val="2"/>
    </font>
    <font>
      <b/>
      <sz val="11.5"/>
      <color indexed="8"/>
      <name val="Arial"/>
      <family val="2"/>
    </font>
    <font>
      <b/>
      <sz val="13.5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6A5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ck"/>
      <right style="thick"/>
      <top style="thin"/>
      <bottom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/>
      <bottom style="medium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ck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thin"/>
      <bottom style="medium"/>
    </border>
    <border>
      <left style="medium"/>
      <right style="thick"/>
      <top/>
      <bottom style="thin"/>
    </border>
    <border>
      <left style="thick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ck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ck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dashed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/>
      <right style="thin"/>
      <top/>
      <bottom style="thin"/>
    </border>
    <border>
      <left style="dashed"/>
      <right style="thin"/>
      <top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dashed"/>
      <right/>
      <top style="thin"/>
      <bottom style="thin"/>
    </border>
    <border>
      <left style="medium"/>
      <right style="thin"/>
      <top/>
      <bottom style="medium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ck"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2" fillId="41" borderId="4" applyNumberFormat="0" applyAlignment="0" applyProtection="0"/>
    <xf numFmtId="0" fontId="14" fillId="42" borderId="5" applyNumberFormat="0" applyAlignment="0" applyProtection="0"/>
    <xf numFmtId="0" fontId="15" fillId="0" borderId="6" applyNumberFormat="0" applyFill="0" applyAlignment="0" applyProtection="0"/>
    <xf numFmtId="0" fontId="73" fillId="43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3" borderId="5" applyNumberFormat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79" fillId="49" borderId="4" applyNumberFormat="0" applyAlignment="0" applyProtection="0"/>
    <xf numFmtId="0" fontId="80" fillId="0" borderId="11" applyNumberFormat="0" applyFill="0" applyAlignment="0" applyProtection="0"/>
    <xf numFmtId="0" fontId="81" fillId="50" borderId="0" applyNumberFormat="0" applyBorder="0" applyAlignment="0" applyProtection="0"/>
    <xf numFmtId="0" fontId="19" fillId="51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0" fillId="52" borderId="0" applyNumberFormat="0" applyFont="0" applyFill="0" applyBorder="0" applyAlignment="0" applyProtection="0"/>
    <xf numFmtId="0" fontId="0" fillId="52" borderId="0" applyNumberFormat="0" applyFont="0" applyFill="0" applyBorder="0" applyAlignment="0" applyProtection="0"/>
    <xf numFmtId="0" fontId="9" fillId="53" borderId="12" applyNumberFormat="0" applyFont="0" applyAlignment="0" applyProtection="0"/>
    <xf numFmtId="0" fontId="0" fillId="54" borderId="13" applyNumberFormat="0" applyFont="0" applyAlignment="0" applyProtection="0"/>
    <xf numFmtId="0" fontId="82" fillId="41" borderId="14" applyNumberFormat="0" applyAlignment="0" applyProtection="0"/>
    <xf numFmtId="9" fontId="0" fillId="0" borderId="0" applyFont="0" applyFill="0" applyBorder="0" applyAlignment="0" applyProtection="0"/>
    <xf numFmtId="0" fontId="20" fillId="42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55" borderId="17" applyNumberFormat="0" applyAlignment="0" applyProtection="0"/>
    <xf numFmtId="0" fontId="84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4" fillId="0" borderId="0" xfId="91" applyNumberFormat="1" applyFont="1">
      <alignment/>
      <protection/>
    </xf>
    <xf numFmtId="1" fontId="4" fillId="0" borderId="0" xfId="91" applyNumberFormat="1" applyFont="1">
      <alignment/>
      <protection/>
    </xf>
    <xf numFmtId="2" fontId="4" fillId="0" borderId="0" xfId="91" applyNumberFormat="1" applyFont="1">
      <alignment/>
      <protection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6" fontId="3" fillId="0" borderId="0" xfId="91" applyNumberFormat="1" applyFont="1">
      <alignment/>
      <protection/>
    </xf>
    <xf numFmtId="1" fontId="3" fillId="0" borderId="0" xfId="91" applyNumberFormat="1" applyFont="1">
      <alignment/>
      <protection/>
    </xf>
    <xf numFmtId="0" fontId="0" fillId="0" borderId="0" xfId="0" applyFont="1" applyAlignment="1">
      <alignment/>
    </xf>
    <xf numFmtId="2" fontId="3" fillId="0" borderId="0" xfId="91" applyNumberFormat="1" applyFont="1">
      <alignment/>
      <protection/>
    </xf>
    <xf numFmtId="176" fontId="3" fillId="0" borderId="0" xfId="91" applyNumberFormat="1" applyFont="1" applyAlignment="1">
      <alignment horizontal="center"/>
      <protection/>
    </xf>
    <xf numFmtId="1" fontId="3" fillId="0" borderId="0" xfId="91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2" fontId="3" fillId="0" borderId="0" xfId="91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8" fillId="0" borderId="0" xfId="84" applyAlignment="1" applyProtection="1">
      <alignment/>
      <protection/>
    </xf>
    <xf numFmtId="0" fontId="26" fillId="0" borderId="0" xfId="90" applyFont="1" applyFill="1">
      <alignment/>
      <protection/>
    </xf>
    <xf numFmtId="0" fontId="27" fillId="0" borderId="0" xfId="90" applyFont="1" applyFill="1" applyBorder="1" applyAlignment="1">
      <alignment/>
      <protection/>
    </xf>
    <xf numFmtId="0" fontId="26" fillId="0" borderId="18" xfId="90" applyFont="1" applyFill="1" applyBorder="1">
      <alignment/>
      <protection/>
    </xf>
    <xf numFmtId="1" fontId="28" fillId="0" borderId="19" xfId="92" applyNumberFormat="1" applyFont="1" applyFill="1" applyBorder="1" applyAlignment="1" applyProtection="1">
      <alignment horizontal="center" vertical="center"/>
      <protection locked="0"/>
    </xf>
    <xf numFmtId="0" fontId="27" fillId="0" borderId="18" xfId="90" applyFont="1" applyFill="1" applyBorder="1" applyAlignment="1">
      <alignment/>
      <protection/>
    </xf>
    <xf numFmtId="0" fontId="29" fillId="0" borderId="0" xfId="90" applyFont="1" applyFill="1">
      <alignment/>
      <protection/>
    </xf>
    <xf numFmtId="0" fontId="26" fillId="0" borderId="20" xfId="90" applyFont="1" applyFill="1" applyBorder="1">
      <alignment/>
      <protection/>
    </xf>
    <xf numFmtId="1" fontId="28" fillId="0" borderId="21" xfId="92" applyNumberFormat="1" applyFont="1" applyFill="1" applyBorder="1" applyAlignment="1" applyProtection="1">
      <alignment horizontal="left" vertical="center"/>
      <protection locked="0"/>
    </xf>
    <xf numFmtId="1" fontId="28" fillId="0" borderId="22" xfId="92" applyNumberFormat="1" applyFont="1" applyFill="1" applyBorder="1" applyAlignment="1" applyProtection="1">
      <alignment horizontal="left" vertical="center"/>
      <protection locked="0"/>
    </xf>
    <xf numFmtId="1" fontId="28" fillId="0" borderId="23" xfId="92" applyNumberFormat="1" applyFont="1" applyFill="1" applyBorder="1" applyAlignment="1" applyProtection="1">
      <alignment horizontal="left" vertical="center"/>
      <protection locked="0"/>
    </xf>
    <xf numFmtId="0" fontId="26" fillId="0" borderId="24" xfId="90" applyFont="1" applyFill="1" applyBorder="1">
      <alignment/>
      <protection/>
    </xf>
    <xf numFmtId="1" fontId="28" fillId="0" borderId="25" xfId="92" applyNumberFormat="1" applyFont="1" applyFill="1" applyBorder="1" applyAlignment="1" applyProtection="1">
      <alignment horizontal="center" vertical="center"/>
      <protection locked="0"/>
    </xf>
    <xf numFmtId="1" fontId="28" fillId="0" borderId="26" xfId="92" applyNumberFormat="1" applyFont="1" applyFill="1" applyBorder="1" applyAlignment="1" applyProtection="1">
      <alignment horizontal="center" vertical="center"/>
      <protection locked="0"/>
    </xf>
    <xf numFmtId="1" fontId="30" fillId="0" borderId="27" xfId="92" applyNumberFormat="1" applyFont="1" applyFill="1" applyBorder="1" applyAlignment="1" applyProtection="1">
      <alignment horizontal="center" vertical="center"/>
      <protection locked="0"/>
    </xf>
    <xf numFmtId="1" fontId="28" fillId="0" borderId="28" xfId="92" applyNumberFormat="1" applyFont="1" applyFill="1" applyBorder="1" applyAlignment="1" applyProtection="1">
      <alignment horizontal="left" vertical="center"/>
      <protection locked="0"/>
    </xf>
    <xf numFmtId="1" fontId="28" fillId="0" borderId="29" xfId="92" applyNumberFormat="1" applyFont="1" applyFill="1" applyBorder="1" applyAlignment="1" applyProtection="1">
      <alignment horizontal="left" vertical="center"/>
      <protection locked="0"/>
    </xf>
    <xf numFmtId="1" fontId="28" fillId="0" borderId="30" xfId="92" applyNumberFormat="1" applyFont="1" applyFill="1" applyBorder="1" applyAlignment="1" applyProtection="1">
      <alignment horizontal="left" vertical="center"/>
      <protection locked="0"/>
    </xf>
    <xf numFmtId="1" fontId="28" fillId="0" borderId="31" xfId="92" applyNumberFormat="1" applyFont="1" applyFill="1" applyBorder="1" applyAlignment="1" applyProtection="1">
      <alignment horizontal="left" vertical="center"/>
      <protection locked="0"/>
    </xf>
    <xf numFmtId="1" fontId="28" fillId="0" borderId="32" xfId="92" applyNumberFormat="1" applyFont="1" applyFill="1" applyBorder="1" applyAlignment="1" applyProtection="1">
      <alignment horizontal="left" vertical="center"/>
      <protection locked="0"/>
    </xf>
    <xf numFmtId="0" fontId="27" fillId="0" borderId="25" xfId="90" applyFont="1" applyFill="1" applyBorder="1" applyAlignment="1">
      <alignment/>
      <protection/>
    </xf>
    <xf numFmtId="1" fontId="28" fillId="0" borderId="33" xfId="92" applyNumberFormat="1" applyFont="1" applyFill="1" applyBorder="1" applyAlignment="1" applyProtection="1">
      <alignment horizontal="center" vertical="center"/>
      <protection locked="0"/>
    </xf>
    <xf numFmtId="0" fontId="28" fillId="0" borderId="22" xfId="90" applyFont="1" applyFill="1" applyBorder="1" applyAlignment="1" applyProtection="1">
      <alignment horizontal="center" vertical="center"/>
      <protection locked="0"/>
    </xf>
    <xf numFmtId="0" fontId="27" fillId="0" borderId="33" xfId="92" applyFont="1" applyFill="1" applyBorder="1" applyAlignment="1" applyProtection="1">
      <alignment horizontal="center" vertical="center"/>
      <protection locked="0"/>
    </xf>
    <xf numFmtId="1" fontId="27" fillId="0" borderId="33" xfId="97" applyNumberFormat="1" applyFont="1" applyFill="1" applyBorder="1" applyAlignment="1" applyProtection="1">
      <alignment horizontal="center" vertical="center"/>
      <protection locked="0"/>
    </xf>
    <xf numFmtId="9" fontId="27" fillId="0" borderId="22" xfId="97" applyFont="1" applyFill="1" applyBorder="1" applyAlignment="1" applyProtection="1">
      <alignment horizontal="center" vertical="center"/>
      <protection locked="0"/>
    </xf>
    <xf numFmtId="0" fontId="31" fillId="0" borderId="0" xfId="90" applyFont="1" applyFill="1" applyAlignment="1">
      <alignment horizontal="center" vertical="center"/>
      <protection/>
    </xf>
    <xf numFmtId="0" fontId="28" fillId="0" borderId="20" xfId="90" applyFont="1" applyFill="1" applyBorder="1" applyAlignment="1">
      <alignment horizontal="center" vertical="center"/>
      <protection/>
    </xf>
    <xf numFmtId="1" fontId="28" fillId="0" borderId="34" xfId="92" applyNumberFormat="1" applyFont="1" applyFill="1" applyBorder="1" applyAlignment="1" applyProtection="1">
      <alignment horizontal="left" vertical="center"/>
      <protection locked="0"/>
    </xf>
    <xf numFmtId="1" fontId="28" fillId="0" borderId="35" xfId="92" applyNumberFormat="1" applyFont="1" applyFill="1" applyBorder="1" applyAlignment="1" applyProtection="1">
      <alignment horizontal="left" vertical="center"/>
      <protection locked="0"/>
    </xf>
    <xf numFmtId="1" fontId="28" fillId="0" borderId="36" xfId="92" applyNumberFormat="1" applyFont="1" applyFill="1" applyBorder="1" applyAlignment="1" applyProtection="1">
      <alignment horizontal="left" vertical="center"/>
      <protection locked="0"/>
    </xf>
    <xf numFmtId="0" fontId="28" fillId="0" borderId="24" xfId="90" applyFont="1" applyFill="1" applyBorder="1" applyAlignment="1">
      <alignment horizontal="center" vertical="center"/>
      <protection/>
    </xf>
    <xf numFmtId="2" fontId="28" fillId="0" borderId="37" xfId="92" applyNumberFormat="1" applyFont="1" applyFill="1" applyBorder="1" applyAlignment="1" applyProtection="1">
      <alignment horizontal="center" vertical="center"/>
      <protection locked="0"/>
    </xf>
    <xf numFmtId="2" fontId="28" fillId="0" borderId="38" xfId="92" applyNumberFormat="1" applyFont="1" applyFill="1" applyBorder="1" applyAlignment="1" applyProtection="1">
      <alignment horizontal="center" vertical="center"/>
      <protection locked="0"/>
    </xf>
    <xf numFmtId="1" fontId="28" fillId="0" borderId="39" xfId="92" applyNumberFormat="1" applyFont="1" applyFill="1" applyBorder="1" applyAlignment="1" applyProtection="1">
      <alignment horizontal="center" vertical="center"/>
      <protection locked="0"/>
    </xf>
    <xf numFmtId="1" fontId="28" fillId="0" borderId="40" xfId="92" applyNumberFormat="1" applyFont="1" applyFill="1" applyBorder="1" applyAlignment="1" applyProtection="1">
      <alignment horizontal="center" vertical="center"/>
      <protection locked="0"/>
    </xf>
    <xf numFmtId="1" fontId="28" fillId="0" borderId="41" xfId="92" applyNumberFormat="1" applyFont="1" applyFill="1" applyBorder="1" applyAlignment="1" applyProtection="1">
      <alignment horizontal="center" vertical="center"/>
      <protection locked="0"/>
    </xf>
    <xf numFmtId="1" fontId="28" fillId="0" borderId="38" xfId="92" applyNumberFormat="1" applyFont="1" applyFill="1" applyBorder="1" applyAlignment="1" applyProtection="1">
      <alignment horizontal="left" vertical="center"/>
      <protection locked="0"/>
    </xf>
    <xf numFmtId="1" fontId="28" fillId="0" borderId="42" xfId="92" applyNumberFormat="1" applyFont="1" applyFill="1" applyBorder="1" applyAlignment="1" applyProtection="1">
      <alignment horizontal="left" vertical="center"/>
      <protection locked="0"/>
    </xf>
    <xf numFmtId="1" fontId="28" fillId="0" borderId="43" xfId="92" applyNumberFormat="1" applyFont="1" applyFill="1" applyBorder="1" applyAlignment="1" applyProtection="1">
      <alignment horizontal="left" vertical="center"/>
      <protection locked="0"/>
    </xf>
    <xf numFmtId="1" fontId="28" fillId="0" borderId="44" xfId="92" applyNumberFormat="1" applyFont="1" applyFill="1" applyBorder="1" applyAlignment="1" applyProtection="1">
      <alignment horizontal="left" vertical="center"/>
      <protection locked="0"/>
    </xf>
    <xf numFmtId="1" fontId="28" fillId="0" borderId="45" xfId="92" applyNumberFormat="1" applyFont="1" applyFill="1" applyBorder="1" applyAlignment="1" applyProtection="1">
      <alignment horizontal="left" vertical="center"/>
      <protection locked="0"/>
    </xf>
    <xf numFmtId="0" fontId="27" fillId="0" borderId="39" xfId="90" applyFont="1" applyFill="1" applyBorder="1" applyAlignment="1">
      <alignment/>
      <protection/>
    </xf>
    <xf numFmtId="1" fontId="28" fillId="0" borderId="46" xfId="92" applyNumberFormat="1" applyFont="1" applyFill="1" applyBorder="1" applyAlignment="1" applyProtection="1">
      <alignment horizontal="center" vertical="center"/>
      <protection locked="0"/>
    </xf>
    <xf numFmtId="184" fontId="28" fillId="0" borderId="37" xfId="92" applyNumberFormat="1" applyFont="1" applyFill="1" applyBorder="1" applyAlignment="1" applyProtection="1">
      <alignment horizontal="center" vertical="center"/>
      <protection locked="0"/>
    </xf>
    <xf numFmtId="183" fontId="28" fillId="0" borderId="38" xfId="92" applyNumberFormat="1" applyFont="1" applyFill="1" applyBorder="1" applyAlignment="1" applyProtection="1">
      <alignment horizontal="center" vertical="center"/>
      <protection locked="0"/>
    </xf>
    <xf numFmtId="184" fontId="28" fillId="0" borderId="47" xfId="92" applyNumberFormat="1" applyFont="1" applyFill="1" applyBorder="1" applyAlignment="1" applyProtection="1">
      <alignment horizontal="center" vertical="center"/>
      <protection locked="0"/>
    </xf>
    <xf numFmtId="183" fontId="27" fillId="0" borderId="44" xfId="90" applyNumberFormat="1" applyFont="1" applyFill="1" applyBorder="1" applyAlignment="1">
      <alignment horizontal="center" vertical="center"/>
      <protection/>
    </xf>
    <xf numFmtId="184" fontId="27" fillId="0" borderId="37" xfId="90" applyNumberFormat="1" applyFont="1" applyFill="1" applyBorder="1" applyAlignment="1">
      <alignment horizontal="center" vertical="center"/>
      <protection/>
    </xf>
    <xf numFmtId="183" fontId="27" fillId="0" borderId="38" xfId="90" applyNumberFormat="1" applyFont="1" applyFill="1" applyBorder="1" applyAlignment="1">
      <alignment horizontal="center" vertical="center"/>
      <protection/>
    </xf>
    <xf numFmtId="183" fontId="27" fillId="0" borderId="37" xfId="90" applyNumberFormat="1" applyFont="1" applyFill="1" applyBorder="1" applyAlignment="1">
      <alignment horizontal="center" vertical="center"/>
      <protection/>
    </xf>
    <xf numFmtId="184" fontId="28" fillId="0" borderId="37" xfId="90" applyNumberFormat="1" applyFont="1" applyFill="1" applyBorder="1" applyAlignment="1" applyProtection="1">
      <alignment horizontal="center" vertical="center"/>
      <protection locked="0"/>
    </xf>
    <xf numFmtId="2" fontId="28" fillId="0" borderId="48" xfId="90" applyNumberFormat="1" applyFont="1" applyFill="1" applyBorder="1" applyAlignment="1" applyProtection="1" quotePrefix="1">
      <alignment horizontal="center" vertical="center"/>
      <protection locked="0"/>
    </xf>
    <xf numFmtId="2" fontId="28" fillId="0" borderId="37" xfId="90" applyNumberFormat="1" applyFont="1" applyFill="1" applyBorder="1" applyAlignment="1" applyProtection="1" quotePrefix="1">
      <alignment horizontal="center" vertical="center"/>
      <protection locked="0"/>
    </xf>
    <xf numFmtId="10" fontId="28" fillId="0" borderId="37" xfId="90" applyNumberFormat="1" applyFont="1" applyFill="1" applyBorder="1" applyAlignment="1" applyProtection="1" quotePrefix="1">
      <alignment horizontal="center" vertical="center"/>
      <protection locked="0"/>
    </xf>
    <xf numFmtId="0" fontId="28" fillId="0" borderId="35" xfId="90" applyFont="1" applyFill="1" applyBorder="1" applyAlignment="1" applyProtection="1">
      <alignment horizontal="center" vertical="center"/>
      <protection locked="0"/>
    </xf>
    <xf numFmtId="0" fontId="27" fillId="0" borderId="46" xfId="92" applyFont="1" applyFill="1" applyBorder="1" applyAlignment="1" applyProtection="1">
      <alignment horizontal="center" vertical="center"/>
      <protection locked="0"/>
    </xf>
    <xf numFmtId="1" fontId="27" fillId="0" borderId="35" xfId="97" applyNumberFormat="1" applyFont="1" applyFill="1" applyBorder="1" applyAlignment="1" applyProtection="1">
      <alignment horizontal="center" vertical="center"/>
      <protection locked="0"/>
    </xf>
    <xf numFmtId="1" fontId="27" fillId="0" borderId="46" xfId="97" applyNumberFormat="1" applyFont="1" applyFill="1" applyBorder="1" applyAlignment="1" applyProtection="1">
      <alignment horizontal="center" vertical="center"/>
      <protection locked="0"/>
    </xf>
    <xf numFmtId="9" fontId="27" fillId="0" borderId="35" xfId="97" applyFont="1" applyFill="1" applyBorder="1" applyAlignment="1" applyProtection="1">
      <alignment horizontal="center" vertical="center"/>
      <protection locked="0"/>
    </xf>
    <xf numFmtId="1" fontId="28" fillId="0" borderId="37" xfId="90" applyNumberFormat="1" applyFont="1" applyFill="1" applyBorder="1" applyAlignment="1" applyProtection="1">
      <alignment horizontal="center" vertical="center"/>
      <protection locked="0"/>
    </xf>
    <xf numFmtId="1" fontId="28" fillId="0" borderId="38" xfId="90" applyNumberFormat="1" applyFont="1" applyFill="1" applyBorder="1" applyAlignment="1" applyProtection="1">
      <alignment horizontal="center" vertical="center"/>
      <protection locked="0"/>
    </xf>
    <xf numFmtId="1" fontId="27" fillId="0" borderId="47" xfId="90" applyNumberFormat="1" applyFont="1" applyFill="1" applyBorder="1" applyAlignment="1">
      <alignment horizontal="center" vertical="center"/>
      <protection/>
    </xf>
    <xf numFmtId="0" fontId="26" fillId="0" borderId="0" xfId="90" applyFont="1" applyFill="1" applyAlignment="1">
      <alignment horizontal="center"/>
      <protection/>
    </xf>
    <xf numFmtId="1" fontId="1" fillId="0" borderId="0" xfId="92" applyNumberFormat="1" applyFont="1" applyFill="1" applyBorder="1" applyAlignment="1" applyProtection="1">
      <alignment horizontal="center"/>
      <protection locked="0"/>
    </xf>
    <xf numFmtId="0" fontId="32" fillId="56" borderId="49" xfId="93" applyFont="1" applyFill="1" applyBorder="1" applyAlignment="1" applyProtection="1">
      <alignment horizontal="center" vertical="center"/>
      <protection locked="0"/>
    </xf>
    <xf numFmtId="0" fontId="33" fillId="56" borderId="50" xfId="93" applyFont="1" applyFill="1" applyBorder="1" applyAlignment="1" applyProtection="1">
      <alignment horizontal="center" vertical="center"/>
      <protection locked="0"/>
    </xf>
    <xf numFmtId="0" fontId="33" fillId="56" borderId="51" xfId="93" applyFont="1" applyFill="1" applyBorder="1" applyAlignment="1" applyProtection="1">
      <alignment horizontal="center" vertical="center"/>
      <protection locked="0"/>
    </xf>
    <xf numFmtId="1" fontId="33" fillId="56" borderId="51" xfId="93" applyNumberFormat="1" applyFont="1" applyFill="1" applyBorder="1" applyAlignment="1" applyProtection="1">
      <alignment horizontal="center" vertical="center"/>
      <protection locked="0"/>
    </xf>
    <xf numFmtId="1" fontId="33" fillId="56" borderId="52" xfId="93" applyNumberFormat="1" applyFont="1" applyFill="1" applyBorder="1" applyAlignment="1" applyProtection="1">
      <alignment horizontal="center" vertical="center"/>
      <protection locked="0"/>
    </xf>
    <xf numFmtId="0" fontId="33" fillId="56" borderId="52" xfId="93" applyFont="1" applyFill="1" applyBorder="1" applyAlignment="1" applyProtection="1">
      <alignment horizontal="center" vertical="center"/>
      <protection locked="0"/>
    </xf>
    <xf numFmtId="0" fontId="33" fillId="56" borderId="53" xfId="93" applyFont="1" applyFill="1" applyBorder="1" applyAlignment="1" applyProtection="1">
      <alignment horizontal="center" vertical="center"/>
      <protection locked="0"/>
    </xf>
    <xf numFmtId="0" fontId="32" fillId="56" borderId="54" xfId="93" applyFont="1" applyFill="1" applyBorder="1" applyAlignment="1" applyProtection="1">
      <alignment horizontal="center" vertical="center"/>
      <protection locked="0"/>
    </xf>
    <xf numFmtId="1" fontId="33" fillId="56" borderId="50" xfId="93" applyNumberFormat="1" applyFont="1" applyFill="1" applyBorder="1" applyAlignment="1" applyProtection="1">
      <alignment horizontal="center" vertical="center"/>
      <protection locked="0"/>
    </xf>
    <xf numFmtId="2" fontId="26" fillId="56" borderId="55" xfId="90" applyNumberFormat="1" applyFont="1" applyFill="1" applyBorder="1" applyAlignment="1">
      <alignment horizontal="center"/>
      <protection/>
    </xf>
    <xf numFmtId="2" fontId="26" fillId="56" borderId="56" xfId="90" applyNumberFormat="1" applyFont="1" applyFill="1" applyBorder="1" applyAlignment="1">
      <alignment horizontal="center"/>
      <protection/>
    </xf>
    <xf numFmtId="0" fontId="26" fillId="56" borderId="57" xfId="90" applyFont="1" applyFill="1" applyBorder="1" applyAlignment="1">
      <alignment horizontal="center"/>
      <protection/>
    </xf>
    <xf numFmtId="1" fontId="26" fillId="56" borderId="58" xfId="90" applyNumberFormat="1" applyFont="1" applyFill="1" applyBorder="1" applyAlignment="1">
      <alignment horizontal="center"/>
      <protection/>
    </xf>
    <xf numFmtId="1" fontId="26" fillId="56" borderId="59" xfId="90" applyNumberFormat="1" applyFont="1" applyFill="1" applyBorder="1" applyAlignment="1">
      <alignment horizontal="center"/>
      <protection/>
    </xf>
    <xf numFmtId="0" fontId="26" fillId="56" borderId="56" xfId="90" applyFont="1" applyFill="1" applyBorder="1">
      <alignment/>
      <protection/>
    </xf>
    <xf numFmtId="0" fontId="26" fillId="56" borderId="60" xfId="90" applyFont="1" applyFill="1" applyBorder="1">
      <alignment/>
      <protection/>
    </xf>
    <xf numFmtId="0" fontId="26" fillId="56" borderId="61" xfId="90" applyFont="1" applyFill="1" applyBorder="1">
      <alignment/>
      <protection/>
    </xf>
    <xf numFmtId="0" fontId="26" fillId="56" borderId="62" xfId="90" applyFont="1" applyFill="1" applyBorder="1">
      <alignment/>
      <protection/>
    </xf>
    <xf numFmtId="0" fontId="26" fillId="56" borderId="63" xfId="90" applyFont="1" applyFill="1" applyBorder="1">
      <alignment/>
      <protection/>
    </xf>
    <xf numFmtId="0" fontId="26" fillId="56" borderId="64" xfId="90" applyFont="1" applyFill="1" applyBorder="1">
      <alignment/>
      <protection/>
    </xf>
    <xf numFmtId="0" fontId="26" fillId="56" borderId="58" xfId="90" applyFont="1" applyFill="1" applyBorder="1" applyAlignment="1">
      <alignment horizontal="center"/>
      <protection/>
    </xf>
    <xf numFmtId="0" fontId="26" fillId="56" borderId="65" xfId="90" applyFont="1" applyFill="1" applyBorder="1" applyAlignment="1">
      <alignment horizontal="center"/>
      <protection/>
    </xf>
    <xf numFmtId="184" fontId="26" fillId="56" borderId="55" xfId="90" applyNumberFormat="1" applyFont="1" applyFill="1" applyBorder="1" applyAlignment="1">
      <alignment horizontal="center"/>
      <protection/>
    </xf>
    <xf numFmtId="183" fontId="26" fillId="56" borderId="56" xfId="90" applyNumberFormat="1" applyFont="1" applyFill="1" applyBorder="1" applyAlignment="1">
      <alignment horizontal="center"/>
      <protection/>
    </xf>
    <xf numFmtId="184" fontId="26" fillId="56" borderId="65" xfId="90" applyNumberFormat="1" applyFont="1" applyFill="1" applyBorder="1" applyAlignment="1">
      <alignment horizontal="center"/>
      <protection/>
    </xf>
    <xf numFmtId="183" fontId="26" fillId="56" borderId="62" xfId="90" applyNumberFormat="1" applyFont="1" applyFill="1" applyBorder="1" applyAlignment="1">
      <alignment horizontal="center"/>
      <protection/>
    </xf>
    <xf numFmtId="183" fontId="26" fillId="56" borderId="55" xfId="90" applyNumberFormat="1" applyFont="1" applyFill="1" applyBorder="1" applyAlignment="1">
      <alignment horizontal="center"/>
      <protection/>
    </xf>
    <xf numFmtId="2" fontId="26" fillId="56" borderId="66" xfId="90" applyNumberFormat="1" applyFont="1" applyFill="1" applyBorder="1" applyAlignment="1">
      <alignment horizontal="center"/>
      <protection/>
    </xf>
    <xf numFmtId="10" fontId="26" fillId="56" borderId="55" xfId="90" applyNumberFormat="1" applyFont="1" applyFill="1" applyBorder="1" applyAlignment="1">
      <alignment horizontal="center"/>
      <protection/>
    </xf>
    <xf numFmtId="0" fontId="26" fillId="56" borderId="62" xfId="90" applyFont="1" applyFill="1" applyBorder="1" applyAlignment="1">
      <alignment horizontal="center"/>
      <protection/>
    </xf>
    <xf numFmtId="1" fontId="26" fillId="56" borderId="57" xfId="97" applyNumberFormat="1" applyFont="1" applyFill="1" applyBorder="1" applyAlignment="1">
      <alignment horizontal="center"/>
    </xf>
    <xf numFmtId="9" fontId="26" fillId="56" borderId="57" xfId="97" applyFont="1" applyFill="1" applyBorder="1" applyAlignment="1">
      <alignment horizontal="center"/>
    </xf>
    <xf numFmtId="1" fontId="26" fillId="56" borderId="55" xfId="90" applyNumberFormat="1" applyFont="1" applyFill="1" applyBorder="1" applyAlignment="1">
      <alignment horizontal="center"/>
      <protection/>
    </xf>
    <xf numFmtId="1" fontId="26" fillId="56" borderId="56" xfId="90" applyNumberFormat="1" applyFont="1" applyFill="1" applyBorder="1" applyAlignment="1">
      <alignment horizontal="center"/>
      <protection/>
    </xf>
    <xf numFmtId="1" fontId="26" fillId="56" borderId="65" xfId="90" applyNumberFormat="1" applyFont="1" applyFill="1" applyBorder="1" applyAlignment="1">
      <alignment horizontal="center"/>
      <protection/>
    </xf>
    <xf numFmtId="0" fontId="32" fillId="56" borderId="23" xfId="93" applyFont="1" applyFill="1" applyBorder="1" applyAlignment="1" applyProtection="1">
      <alignment horizontal="center" vertical="center"/>
      <protection locked="0"/>
    </xf>
    <xf numFmtId="0" fontId="33" fillId="56" borderId="21" xfId="93" applyFont="1" applyFill="1" applyBorder="1" applyAlignment="1" applyProtection="1">
      <alignment horizontal="center" vertical="center"/>
      <protection locked="0"/>
    </xf>
    <xf numFmtId="1" fontId="33" fillId="56" borderId="22" xfId="93" applyNumberFormat="1" applyFont="1" applyFill="1" applyBorder="1" applyAlignment="1" applyProtection="1">
      <alignment horizontal="center" vertical="center"/>
      <protection locked="0"/>
    </xf>
    <xf numFmtId="0" fontId="33" fillId="56" borderId="22" xfId="93" applyFont="1" applyFill="1" applyBorder="1" applyAlignment="1" applyProtection="1">
      <alignment horizontal="center" vertical="center"/>
      <protection locked="0"/>
    </xf>
    <xf numFmtId="0" fontId="33" fillId="56" borderId="23" xfId="93" applyFont="1" applyFill="1" applyBorder="1" applyAlignment="1" applyProtection="1">
      <alignment horizontal="center" vertical="center"/>
      <protection locked="0"/>
    </xf>
    <xf numFmtId="0" fontId="32" fillId="56" borderId="32" xfId="93" applyFont="1" applyFill="1" applyBorder="1" applyAlignment="1" applyProtection="1">
      <alignment horizontal="center" vertical="center"/>
      <protection locked="0"/>
    </xf>
    <xf numFmtId="1" fontId="33" fillId="56" borderId="21" xfId="93" applyNumberFormat="1" applyFont="1" applyFill="1" applyBorder="1" applyAlignment="1" applyProtection="1">
      <alignment horizontal="center" vertical="center"/>
      <protection locked="0"/>
    </xf>
    <xf numFmtId="2" fontId="26" fillId="56" borderId="67" xfId="90" applyNumberFormat="1" applyFont="1" applyFill="1" applyBorder="1" applyAlignment="1">
      <alignment horizontal="center"/>
      <protection/>
    </xf>
    <xf numFmtId="2" fontId="26" fillId="56" borderId="29" xfId="90" applyNumberFormat="1" applyFont="1" applyFill="1" applyBorder="1" applyAlignment="1">
      <alignment horizontal="center"/>
      <protection/>
    </xf>
    <xf numFmtId="0" fontId="26" fillId="56" borderId="33" xfId="90" applyFont="1" applyFill="1" applyBorder="1" applyAlignment="1">
      <alignment horizontal="center"/>
      <protection/>
    </xf>
    <xf numFmtId="1" fontId="26" fillId="56" borderId="68" xfId="90" applyNumberFormat="1" applyFont="1" applyFill="1" applyBorder="1" applyAlignment="1">
      <alignment horizontal="center"/>
      <protection/>
    </xf>
    <xf numFmtId="1" fontId="26" fillId="56" borderId="69" xfId="90" applyNumberFormat="1" applyFont="1" applyFill="1" applyBorder="1" applyAlignment="1">
      <alignment horizontal="center"/>
      <protection/>
    </xf>
    <xf numFmtId="0" fontId="26" fillId="56" borderId="29" xfId="90" applyFont="1" applyFill="1" applyBorder="1">
      <alignment/>
      <protection/>
    </xf>
    <xf numFmtId="0" fontId="26" fillId="56" borderId="30" xfId="90" applyFont="1" applyFill="1" applyBorder="1">
      <alignment/>
      <protection/>
    </xf>
    <xf numFmtId="0" fontId="26" fillId="56" borderId="28" xfId="90" applyFont="1" applyFill="1" applyBorder="1">
      <alignment/>
      <protection/>
    </xf>
    <xf numFmtId="0" fontId="26" fillId="56" borderId="31" xfId="90" applyFont="1" applyFill="1" applyBorder="1">
      <alignment/>
      <protection/>
    </xf>
    <xf numFmtId="0" fontId="26" fillId="56" borderId="32" xfId="90" applyFont="1" applyFill="1" applyBorder="1">
      <alignment/>
      <protection/>
    </xf>
    <xf numFmtId="0" fontId="26" fillId="56" borderId="25" xfId="90" applyFont="1" applyFill="1" applyBorder="1">
      <alignment/>
      <protection/>
    </xf>
    <xf numFmtId="0" fontId="26" fillId="56" borderId="68" xfId="90" applyFont="1" applyFill="1" applyBorder="1" applyAlignment="1">
      <alignment horizontal="center"/>
      <protection/>
    </xf>
    <xf numFmtId="0" fontId="26" fillId="56" borderId="27" xfId="90" applyFont="1" applyFill="1" applyBorder="1" applyAlignment="1">
      <alignment horizontal="center"/>
      <protection/>
    </xf>
    <xf numFmtId="184" fontId="26" fillId="56" borderId="67" xfId="90" applyNumberFormat="1" applyFont="1" applyFill="1" applyBorder="1" applyAlignment="1">
      <alignment horizontal="center"/>
      <protection/>
    </xf>
    <xf numFmtId="183" fontId="26" fillId="56" borderId="29" xfId="90" applyNumberFormat="1" applyFont="1" applyFill="1" applyBorder="1" applyAlignment="1">
      <alignment horizontal="center"/>
      <protection/>
    </xf>
    <xf numFmtId="184" fontId="26" fillId="56" borderId="27" xfId="90" applyNumberFormat="1" applyFont="1" applyFill="1" applyBorder="1" applyAlignment="1">
      <alignment horizontal="center"/>
      <protection/>
    </xf>
    <xf numFmtId="183" fontId="26" fillId="56" borderId="31" xfId="90" applyNumberFormat="1" applyFont="1" applyFill="1" applyBorder="1" applyAlignment="1">
      <alignment horizontal="center"/>
      <protection/>
    </xf>
    <xf numFmtId="183" fontId="26" fillId="56" borderId="67" xfId="90" applyNumberFormat="1" applyFont="1" applyFill="1" applyBorder="1" applyAlignment="1">
      <alignment horizontal="center"/>
      <protection/>
    </xf>
    <xf numFmtId="2" fontId="26" fillId="56" borderId="70" xfId="90" applyNumberFormat="1" applyFont="1" applyFill="1" applyBorder="1" applyAlignment="1">
      <alignment horizontal="center"/>
      <protection/>
    </xf>
    <xf numFmtId="10" fontId="26" fillId="56" borderId="67" xfId="90" applyNumberFormat="1" applyFont="1" applyFill="1" applyBorder="1" applyAlignment="1">
      <alignment horizontal="center"/>
      <protection/>
    </xf>
    <xf numFmtId="0" fontId="26" fillId="56" borderId="31" xfId="90" applyFont="1" applyFill="1" applyBorder="1" applyAlignment="1">
      <alignment horizontal="center"/>
      <protection/>
    </xf>
    <xf numFmtId="1" fontId="26" fillId="56" borderId="33" xfId="97" applyNumberFormat="1" applyFont="1" applyFill="1" applyBorder="1" applyAlignment="1">
      <alignment horizontal="center"/>
    </xf>
    <xf numFmtId="9" fontId="26" fillId="56" borderId="33" xfId="97" applyFont="1" applyFill="1" applyBorder="1" applyAlignment="1">
      <alignment horizontal="center"/>
    </xf>
    <xf numFmtId="1" fontId="26" fillId="56" borderId="67" xfId="90" applyNumberFormat="1" applyFont="1" applyFill="1" applyBorder="1" applyAlignment="1">
      <alignment horizontal="center"/>
      <protection/>
    </xf>
    <xf numFmtId="1" fontId="26" fillId="56" borderId="29" xfId="90" applyNumberFormat="1" applyFont="1" applyFill="1" applyBorder="1" applyAlignment="1">
      <alignment horizontal="center"/>
      <protection/>
    </xf>
    <xf numFmtId="1" fontId="26" fillId="56" borderId="27" xfId="90" applyNumberFormat="1" applyFont="1" applyFill="1" applyBorder="1" applyAlignment="1">
      <alignment horizontal="center"/>
      <protection/>
    </xf>
    <xf numFmtId="0" fontId="33" fillId="0" borderId="23" xfId="93" applyFont="1" applyFill="1" applyBorder="1" applyAlignment="1" applyProtection="1">
      <alignment horizontal="center" vertical="center"/>
      <protection locked="0"/>
    </xf>
    <xf numFmtId="0" fontId="33" fillId="0" borderId="21" xfId="93" applyFont="1" applyFill="1" applyBorder="1" applyAlignment="1" applyProtection="1">
      <alignment horizontal="center" vertical="center"/>
      <protection locked="0"/>
    </xf>
    <xf numFmtId="0" fontId="33" fillId="0" borderId="51" xfId="93" applyFont="1" applyFill="1" applyBorder="1" applyAlignment="1" applyProtection="1">
      <alignment horizontal="center" vertical="center"/>
      <protection locked="0"/>
    </xf>
    <xf numFmtId="1" fontId="33" fillId="0" borderId="22" xfId="93" applyNumberFormat="1" applyFont="1" applyFill="1" applyBorder="1" applyAlignment="1" applyProtection="1">
      <alignment horizontal="center" vertical="center"/>
      <protection locked="0"/>
    </xf>
    <xf numFmtId="0" fontId="33" fillId="0" borderId="22" xfId="93" applyFont="1" applyFill="1" applyBorder="1" applyAlignment="1" applyProtection="1">
      <alignment horizontal="center" vertical="center"/>
      <protection locked="0"/>
    </xf>
    <xf numFmtId="0" fontId="33" fillId="0" borderId="32" xfId="93" applyFont="1" applyFill="1" applyBorder="1" applyAlignment="1" applyProtection="1">
      <alignment horizontal="center" vertical="center"/>
      <protection locked="0"/>
    </xf>
    <xf numFmtId="1" fontId="33" fillId="0" borderId="21" xfId="93" applyNumberFormat="1" applyFont="1" applyFill="1" applyBorder="1" applyAlignment="1" applyProtection="1">
      <alignment horizontal="center" vertical="center"/>
      <protection locked="0"/>
    </xf>
    <xf numFmtId="2" fontId="26" fillId="0" borderId="67" xfId="90" applyNumberFormat="1" applyFont="1" applyFill="1" applyBorder="1" applyAlignment="1">
      <alignment horizontal="center"/>
      <protection/>
    </xf>
    <xf numFmtId="2" fontId="26" fillId="0" borderId="29" xfId="90" applyNumberFormat="1" applyFont="1" applyFill="1" applyBorder="1" applyAlignment="1">
      <alignment horizontal="center"/>
      <protection/>
    </xf>
    <xf numFmtId="0" fontId="26" fillId="0" borderId="33" xfId="90" applyFont="1" applyFill="1" applyBorder="1" applyAlignment="1">
      <alignment horizontal="center"/>
      <protection/>
    </xf>
    <xf numFmtId="1" fontId="26" fillId="0" borderId="68" xfId="90" applyNumberFormat="1" applyFont="1" applyFill="1" applyBorder="1" applyAlignment="1">
      <alignment horizontal="center"/>
      <protection/>
    </xf>
    <xf numFmtId="1" fontId="26" fillId="0" borderId="69" xfId="90" applyNumberFormat="1" applyFont="1" applyFill="1" applyBorder="1" applyAlignment="1">
      <alignment horizontal="center"/>
      <protection/>
    </xf>
    <xf numFmtId="0" fontId="26" fillId="0" borderId="29" xfId="90" applyFont="1" applyFill="1" applyBorder="1">
      <alignment/>
      <protection/>
    </xf>
    <xf numFmtId="0" fontId="26" fillId="0" borderId="30" xfId="90" applyFont="1" applyFill="1" applyBorder="1">
      <alignment/>
      <protection/>
    </xf>
    <xf numFmtId="0" fontId="26" fillId="0" borderId="28" xfId="90" applyFont="1" applyFill="1" applyBorder="1">
      <alignment/>
      <protection/>
    </xf>
    <xf numFmtId="0" fontId="26" fillId="0" borderId="31" xfId="90" applyFont="1" applyFill="1" applyBorder="1">
      <alignment/>
      <protection/>
    </xf>
    <xf numFmtId="0" fontId="26" fillId="0" borderId="32" xfId="90" applyFont="1" applyFill="1" applyBorder="1">
      <alignment/>
      <protection/>
    </xf>
    <xf numFmtId="0" fontId="26" fillId="0" borderId="25" xfId="90" applyFont="1" applyFill="1" applyBorder="1">
      <alignment/>
      <protection/>
    </xf>
    <xf numFmtId="0" fontId="26" fillId="0" borderId="68" xfId="90" applyFont="1" applyFill="1" applyBorder="1" applyAlignment="1">
      <alignment horizontal="center"/>
      <protection/>
    </xf>
    <xf numFmtId="0" fontId="26" fillId="0" borderId="27" xfId="90" applyFont="1" applyFill="1" applyBorder="1" applyAlignment="1">
      <alignment horizontal="center"/>
      <protection/>
    </xf>
    <xf numFmtId="184" fontId="26" fillId="0" borderId="67" xfId="90" applyNumberFormat="1" applyFont="1" applyFill="1" applyBorder="1" applyAlignment="1">
      <alignment horizontal="center"/>
      <protection/>
    </xf>
    <xf numFmtId="183" fontId="26" fillId="0" borderId="29" xfId="90" applyNumberFormat="1" applyFont="1" applyFill="1" applyBorder="1" applyAlignment="1">
      <alignment horizontal="center"/>
      <protection/>
    </xf>
    <xf numFmtId="184" fontId="26" fillId="0" borderId="27" xfId="90" applyNumberFormat="1" applyFont="1" applyFill="1" applyBorder="1" applyAlignment="1">
      <alignment horizontal="center"/>
      <protection/>
    </xf>
    <xf numFmtId="183" fontId="26" fillId="0" borderId="31" xfId="90" applyNumberFormat="1" applyFont="1" applyFill="1" applyBorder="1" applyAlignment="1">
      <alignment horizontal="center"/>
      <protection/>
    </xf>
    <xf numFmtId="2" fontId="26" fillId="0" borderId="70" xfId="90" applyNumberFormat="1" applyFont="1" applyFill="1" applyBorder="1" applyAlignment="1">
      <alignment horizontal="center"/>
      <protection/>
    </xf>
    <xf numFmtId="10" fontId="26" fillId="0" borderId="67" xfId="90" applyNumberFormat="1" applyFont="1" applyFill="1" applyBorder="1" applyAlignment="1">
      <alignment horizontal="center"/>
      <protection/>
    </xf>
    <xf numFmtId="0" fontId="26" fillId="0" borderId="31" xfId="90" applyFont="1" applyFill="1" applyBorder="1" applyAlignment="1">
      <alignment horizontal="center"/>
      <protection/>
    </xf>
    <xf numFmtId="1" fontId="26" fillId="0" borderId="33" xfId="97" applyNumberFormat="1" applyFont="1" applyFill="1" applyBorder="1" applyAlignment="1">
      <alignment horizontal="center"/>
    </xf>
    <xf numFmtId="9" fontId="26" fillId="0" borderId="33" xfId="97" applyFont="1" applyFill="1" applyBorder="1" applyAlignment="1">
      <alignment horizontal="center"/>
    </xf>
    <xf numFmtId="1" fontId="26" fillId="0" borderId="67" xfId="90" applyNumberFormat="1" applyFont="1" applyFill="1" applyBorder="1" applyAlignment="1">
      <alignment horizontal="center"/>
      <protection/>
    </xf>
    <xf numFmtId="1" fontId="26" fillId="0" borderId="29" xfId="90" applyNumberFormat="1" applyFont="1" applyFill="1" applyBorder="1" applyAlignment="1">
      <alignment horizontal="center"/>
      <protection/>
    </xf>
    <xf numFmtId="1" fontId="26" fillId="0" borderId="27" xfId="90" applyNumberFormat="1" applyFont="1" applyFill="1" applyBorder="1" applyAlignment="1">
      <alignment horizontal="center"/>
      <protection/>
    </xf>
    <xf numFmtId="0" fontId="33" fillId="56" borderId="32" xfId="93" applyFont="1" applyFill="1" applyBorder="1" applyAlignment="1" applyProtection="1">
      <alignment horizontal="center" vertical="center"/>
      <protection locked="0"/>
    </xf>
    <xf numFmtId="184" fontId="26" fillId="57" borderId="67" xfId="90" applyNumberFormat="1" applyFont="1" applyFill="1" applyBorder="1" applyAlignment="1">
      <alignment horizontal="center"/>
      <protection/>
    </xf>
    <xf numFmtId="183" fontId="26" fillId="57" borderId="29" xfId="90" applyNumberFormat="1" applyFont="1" applyFill="1" applyBorder="1" applyAlignment="1">
      <alignment horizontal="center"/>
      <protection/>
    </xf>
    <xf numFmtId="1" fontId="35" fillId="0" borderId="0" xfId="92" applyNumberFormat="1" applyFont="1" applyFill="1" applyBorder="1" applyAlignment="1" applyProtection="1">
      <alignment horizontal="center"/>
      <protection locked="0"/>
    </xf>
    <xf numFmtId="10" fontId="26" fillId="0" borderId="0" xfId="90" applyNumberFormat="1" applyFont="1" applyFill="1" applyAlignment="1">
      <alignment horizontal="center"/>
      <protection/>
    </xf>
    <xf numFmtId="0" fontId="1" fillId="0" borderId="0" xfId="92" applyFont="1" applyFill="1" applyBorder="1" applyAlignment="1" applyProtection="1">
      <alignment horizontal="center"/>
      <protection locked="0"/>
    </xf>
    <xf numFmtId="1" fontId="36" fillId="0" borderId="0" xfId="90" applyNumberFormat="1" applyFont="1" applyFill="1" applyBorder="1" applyAlignment="1">
      <alignment horizontal="center"/>
      <protection/>
    </xf>
    <xf numFmtId="1" fontId="36" fillId="0" borderId="0" xfId="90" applyNumberFormat="1" applyFont="1" applyFill="1" applyBorder="1" applyAlignment="1" applyProtection="1">
      <alignment horizontal="center" vertical="center"/>
      <protection/>
    </xf>
    <xf numFmtId="0" fontId="26" fillId="0" borderId="0" xfId="90" applyFont="1" applyFill="1" applyBorder="1" applyAlignment="1">
      <alignment horizontal="left"/>
      <protection/>
    </xf>
    <xf numFmtId="1" fontId="26" fillId="0" borderId="0" xfId="90" applyNumberFormat="1" applyFont="1" applyFill="1" applyAlignment="1">
      <alignment horizontal="center"/>
      <protection/>
    </xf>
    <xf numFmtId="1" fontId="26" fillId="0" borderId="0" xfId="90" applyNumberFormat="1" applyFont="1" applyFill="1" applyBorder="1" applyAlignment="1">
      <alignment horizontal="left"/>
      <protection/>
    </xf>
    <xf numFmtId="184" fontId="26" fillId="0" borderId="0" xfId="90" applyNumberFormat="1" applyFont="1" applyFill="1" applyBorder="1" applyAlignment="1">
      <alignment horizontal="left"/>
      <protection/>
    </xf>
    <xf numFmtId="10" fontId="26" fillId="0" borderId="0" xfId="90" applyNumberFormat="1" applyFont="1" applyFill="1" applyBorder="1" applyAlignment="1">
      <alignment horizontal="left"/>
      <protection/>
    </xf>
    <xf numFmtId="0" fontId="26" fillId="0" borderId="0" xfId="90" applyFont="1" applyFill="1" applyBorder="1">
      <alignment/>
      <protection/>
    </xf>
    <xf numFmtId="2" fontId="26" fillId="0" borderId="0" xfId="90" applyNumberFormat="1" applyFont="1" applyFill="1" applyBorder="1">
      <alignment/>
      <protection/>
    </xf>
    <xf numFmtId="2" fontId="34" fillId="0" borderId="0" xfId="90" applyNumberFormat="1" applyFont="1" applyFill="1" applyBorder="1">
      <alignment/>
      <protection/>
    </xf>
    <xf numFmtId="1" fontId="26" fillId="0" borderId="0" xfId="90" applyNumberFormat="1" applyFont="1" applyFill="1" applyBorder="1">
      <alignment/>
      <protection/>
    </xf>
    <xf numFmtId="1" fontId="26" fillId="0" borderId="0" xfId="90" applyNumberFormat="1" applyFont="1" applyFill="1">
      <alignment/>
      <protection/>
    </xf>
    <xf numFmtId="2" fontId="26" fillId="0" borderId="0" xfId="90" applyNumberFormat="1" applyFont="1" applyFill="1" applyAlignment="1">
      <alignment horizontal="center"/>
      <protection/>
    </xf>
    <xf numFmtId="184" fontId="26" fillId="0" borderId="0" xfId="90" applyNumberFormat="1" applyFont="1" applyFill="1" applyAlignment="1">
      <alignment horizontal="center"/>
      <protection/>
    </xf>
    <xf numFmtId="183" fontId="26" fillId="0" borderId="0" xfId="90" applyNumberFormat="1" applyFont="1" applyFill="1" applyAlignment="1">
      <alignment horizontal="center"/>
      <protection/>
    </xf>
    <xf numFmtId="9" fontId="26" fillId="0" borderId="0" xfId="97" applyFont="1" applyFill="1" applyAlignment="1">
      <alignment horizontal="center"/>
    </xf>
    <xf numFmtId="1" fontId="26" fillId="0" borderId="0" xfId="97" applyNumberFormat="1" applyFont="1" applyFill="1" applyAlignment="1">
      <alignment horizontal="center"/>
    </xf>
    <xf numFmtId="0" fontId="9" fillId="0" borderId="18" xfId="90" applyBorder="1">
      <alignment/>
      <protection/>
    </xf>
    <xf numFmtId="0" fontId="9" fillId="0" borderId="0" xfId="90" applyAlignment="1">
      <alignment horizontal="center"/>
      <protection/>
    </xf>
    <xf numFmtId="2" fontId="9" fillId="0" borderId="0" xfId="90" applyNumberFormat="1" applyAlignment="1">
      <alignment horizontal="center"/>
      <protection/>
    </xf>
    <xf numFmtId="0" fontId="9" fillId="0" borderId="0" xfId="90">
      <alignment/>
      <protection/>
    </xf>
    <xf numFmtId="10" fontId="9" fillId="0" borderId="0" xfId="90" applyNumberFormat="1" applyAlignment="1">
      <alignment horizontal="center"/>
      <protection/>
    </xf>
    <xf numFmtId="0" fontId="2" fillId="0" borderId="46" xfId="90" applyFont="1" applyBorder="1" applyAlignment="1">
      <alignment horizontal="center" vertical="center"/>
      <protection/>
    </xf>
    <xf numFmtId="0" fontId="37" fillId="0" borderId="35" xfId="90" applyFont="1" applyFill="1" applyBorder="1" applyAlignment="1">
      <alignment horizontal="center"/>
      <protection/>
    </xf>
    <xf numFmtId="2" fontId="38" fillId="0" borderId="35" xfId="90" applyNumberFormat="1" applyFont="1" applyFill="1" applyBorder="1" applyAlignment="1" applyProtection="1">
      <alignment horizontal="center" vertical="center"/>
      <protection locked="0"/>
    </xf>
    <xf numFmtId="10" fontId="38" fillId="0" borderId="35" xfId="90" applyNumberFormat="1" applyFont="1" applyFill="1" applyBorder="1" applyAlignment="1" applyProtection="1">
      <alignment horizontal="center" vertical="center"/>
      <protection locked="0"/>
    </xf>
    <xf numFmtId="0" fontId="35" fillId="58" borderId="71" xfId="93" applyFont="1" applyFill="1" applyBorder="1" applyAlignment="1" applyProtection="1">
      <alignment horizontal="center" vertical="center"/>
      <protection locked="0"/>
    </xf>
    <xf numFmtId="0" fontId="9" fillId="0" borderId="51" xfId="90" applyBorder="1" applyAlignment="1">
      <alignment horizontal="center"/>
      <protection/>
    </xf>
    <xf numFmtId="2" fontId="9" fillId="0" borderId="72" xfId="90" applyNumberFormat="1" applyBorder="1" applyAlignment="1">
      <alignment horizontal="center"/>
      <protection/>
    </xf>
    <xf numFmtId="2" fontId="9" fillId="0" borderId="73" xfId="90" applyNumberFormat="1" applyBorder="1" applyAlignment="1">
      <alignment horizontal="center"/>
      <protection/>
    </xf>
    <xf numFmtId="2" fontId="9" fillId="0" borderId="74" xfId="90" applyNumberFormat="1" applyBorder="1" applyAlignment="1">
      <alignment horizontal="center"/>
      <protection/>
    </xf>
    <xf numFmtId="2" fontId="9" fillId="0" borderId="71" xfId="90" applyNumberFormat="1" applyBorder="1" applyAlignment="1">
      <alignment horizontal="center"/>
      <protection/>
    </xf>
    <xf numFmtId="2" fontId="9" fillId="0" borderId="55" xfId="90" applyNumberFormat="1" applyBorder="1" applyAlignment="1">
      <alignment horizontal="center"/>
      <protection/>
    </xf>
    <xf numFmtId="2" fontId="9" fillId="0" borderId="56" xfId="90" applyNumberFormat="1" applyBorder="1" applyAlignment="1">
      <alignment horizontal="center"/>
      <protection/>
    </xf>
    <xf numFmtId="2" fontId="9" fillId="0" borderId="65" xfId="90" applyNumberFormat="1" applyBorder="1" applyAlignment="1">
      <alignment horizontal="center"/>
      <protection/>
    </xf>
    <xf numFmtId="2" fontId="9" fillId="0" borderId="61" xfId="90" applyNumberFormat="1" applyBorder="1" applyAlignment="1">
      <alignment horizontal="center"/>
      <protection/>
    </xf>
    <xf numFmtId="10" fontId="9" fillId="0" borderId="52" xfId="90" applyNumberFormat="1" applyBorder="1" applyAlignment="1">
      <alignment horizontal="center"/>
      <protection/>
    </xf>
    <xf numFmtId="10" fontId="9" fillId="0" borderId="0" xfId="90" applyNumberFormat="1">
      <alignment/>
      <protection/>
    </xf>
    <xf numFmtId="0" fontId="35" fillId="58" borderId="31" xfId="93" applyFont="1" applyFill="1" applyBorder="1" applyAlignment="1" applyProtection="1">
      <alignment horizontal="center" vertical="center"/>
      <protection locked="0"/>
    </xf>
    <xf numFmtId="0" fontId="9" fillId="0" borderId="22" xfId="90" applyBorder="1" applyAlignment="1">
      <alignment horizontal="center"/>
      <protection/>
    </xf>
    <xf numFmtId="2" fontId="9" fillId="0" borderId="67" xfId="90" applyNumberFormat="1" applyBorder="1" applyAlignment="1">
      <alignment horizontal="center"/>
      <protection/>
    </xf>
    <xf numFmtId="2" fontId="9" fillId="0" borderId="29" xfId="90" applyNumberFormat="1" applyBorder="1" applyAlignment="1">
      <alignment horizontal="center"/>
      <protection/>
    </xf>
    <xf numFmtId="2" fontId="9" fillId="0" borderId="27" xfId="90" applyNumberFormat="1" applyBorder="1" applyAlignment="1">
      <alignment horizontal="center"/>
      <protection/>
    </xf>
    <xf numFmtId="2" fontId="9" fillId="0" borderId="31" xfId="90" applyNumberFormat="1" applyBorder="1" applyAlignment="1">
      <alignment horizontal="center"/>
      <protection/>
    </xf>
    <xf numFmtId="2" fontId="9" fillId="0" borderId="28" xfId="90" applyNumberFormat="1" applyBorder="1" applyAlignment="1">
      <alignment horizontal="center"/>
      <protection/>
    </xf>
    <xf numFmtId="10" fontId="9" fillId="0" borderId="22" xfId="90" applyNumberFormat="1" applyBorder="1" applyAlignment="1">
      <alignment horizontal="center"/>
      <protection/>
    </xf>
    <xf numFmtId="0" fontId="1" fillId="58" borderId="31" xfId="93" applyFont="1" applyFill="1" applyBorder="1" applyAlignment="1" applyProtection="1">
      <alignment horizontal="center" vertical="center"/>
      <protection locked="0"/>
    </xf>
    <xf numFmtId="0" fontId="1" fillId="0" borderId="31" xfId="93" applyFont="1" applyFill="1" applyBorder="1" applyAlignment="1" applyProtection="1">
      <alignment horizontal="center" vertical="center"/>
      <protection locked="0"/>
    </xf>
    <xf numFmtId="2" fontId="9" fillId="0" borderId="75" xfId="90" applyNumberFormat="1" applyFill="1" applyBorder="1" applyAlignment="1">
      <alignment horizontal="center"/>
      <protection/>
    </xf>
    <xf numFmtId="0" fontId="35" fillId="0" borderId="31" xfId="93" applyFont="1" applyFill="1" applyBorder="1" applyAlignment="1" applyProtection="1">
      <alignment horizontal="center" vertical="center"/>
      <protection locked="0"/>
    </xf>
    <xf numFmtId="0" fontId="9" fillId="0" borderId="22" xfId="90" applyBorder="1" applyAlignment="1" quotePrefix="1">
      <alignment horizontal="center"/>
      <protection/>
    </xf>
    <xf numFmtId="2" fontId="9" fillId="0" borderId="0" xfId="90" applyNumberFormat="1">
      <alignment/>
      <protection/>
    </xf>
    <xf numFmtId="2" fontId="21" fillId="0" borderId="29" xfId="90" applyNumberFormat="1" applyFont="1" applyBorder="1" applyAlignment="1">
      <alignment horizontal="center"/>
      <protection/>
    </xf>
    <xf numFmtId="10" fontId="9" fillId="0" borderId="22" xfId="90" applyNumberFormat="1" applyFont="1" applyFill="1" applyBorder="1" applyAlignment="1">
      <alignment horizontal="center"/>
      <protection/>
    </xf>
    <xf numFmtId="0" fontId="9" fillId="0" borderId="35" xfId="90" applyBorder="1" applyAlignment="1">
      <alignment horizontal="center"/>
      <protection/>
    </xf>
    <xf numFmtId="2" fontId="9" fillId="0" borderId="37" xfId="90" applyNumberFormat="1" applyBorder="1" applyAlignment="1">
      <alignment horizontal="center"/>
      <protection/>
    </xf>
    <xf numFmtId="2" fontId="9" fillId="0" borderId="38" xfId="90" applyNumberFormat="1" applyBorder="1" applyAlignment="1">
      <alignment horizontal="center"/>
      <protection/>
    </xf>
    <xf numFmtId="2" fontId="9" fillId="0" borderId="47" xfId="90" applyNumberFormat="1" applyBorder="1" applyAlignment="1">
      <alignment horizontal="center"/>
      <protection/>
    </xf>
    <xf numFmtId="2" fontId="9" fillId="0" borderId="43" xfId="90" applyNumberFormat="1" applyBorder="1" applyAlignment="1">
      <alignment horizontal="center"/>
      <protection/>
    </xf>
    <xf numFmtId="10" fontId="9" fillId="0" borderId="35" xfId="90" applyNumberFormat="1" applyBorder="1" applyAlignment="1">
      <alignment horizontal="center"/>
      <protection/>
    </xf>
    <xf numFmtId="9" fontId="9" fillId="0" borderId="0" xfId="90" applyNumberFormat="1" applyAlignment="1">
      <alignment horizontal="center"/>
      <protection/>
    </xf>
    <xf numFmtId="1" fontId="9" fillId="0" borderId="0" xfId="90" applyNumberFormat="1" applyAlignment="1">
      <alignment horizontal="center"/>
      <protection/>
    </xf>
    <xf numFmtId="0" fontId="38" fillId="0" borderId="34" xfId="90" applyFont="1" applyFill="1" applyBorder="1" applyAlignment="1" applyProtection="1">
      <alignment horizontal="left" vertical="center"/>
      <protection locked="0"/>
    </xf>
    <xf numFmtId="0" fontId="37" fillId="0" borderId="35" xfId="92" applyFont="1" applyFill="1" applyBorder="1" applyAlignment="1" applyProtection="1">
      <alignment horizontal="left" vertical="center"/>
      <protection locked="0"/>
    </xf>
    <xf numFmtId="9" fontId="38" fillId="0" borderId="76" xfId="92" applyNumberFormat="1" applyFont="1" applyFill="1" applyBorder="1" applyAlignment="1" applyProtection="1">
      <alignment horizontal="center" vertical="center"/>
      <protection locked="0"/>
    </xf>
    <xf numFmtId="1" fontId="38" fillId="0" borderId="35" xfId="92" applyNumberFormat="1" applyFont="1" applyFill="1" applyBorder="1" applyAlignment="1" applyProtection="1">
      <alignment horizontal="center" vertical="center"/>
      <protection locked="0"/>
    </xf>
    <xf numFmtId="1" fontId="38" fillId="0" borderId="43" xfId="92" applyNumberFormat="1" applyFont="1" applyFill="1" applyBorder="1" applyAlignment="1" applyProtection="1">
      <alignment horizontal="center" vertical="center"/>
      <protection locked="0"/>
    </xf>
    <xf numFmtId="1" fontId="38" fillId="0" borderId="44" xfId="92" applyNumberFormat="1" applyFont="1" applyFill="1" applyBorder="1" applyAlignment="1" applyProtection="1">
      <alignment horizontal="center" vertical="center"/>
      <protection locked="0"/>
    </xf>
    <xf numFmtId="1" fontId="38" fillId="0" borderId="48" xfId="92" applyNumberFormat="1" applyFont="1" applyFill="1" applyBorder="1" applyAlignment="1" applyProtection="1">
      <alignment horizontal="center" vertical="center"/>
      <protection locked="0"/>
    </xf>
    <xf numFmtId="1" fontId="38" fillId="0" borderId="47" xfId="92" applyNumberFormat="1" applyFont="1" applyFill="1" applyBorder="1" applyAlignment="1" applyProtection="1">
      <alignment horizontal="center" vertical="center"/>
      <protection locked="0"/>
    </xf>
    <xf numFmtId="1" fontId="38" fillId="0" borderId="39" xfId="92" applyNumberFormat="1" applyFont="1" applyFill="1" applyBorder="1" applyAlignment="1" applyProtection="1">
      <alignment horizontal="left" vertical="center"/>
      <protection locked="0"/>
    </xf>
    <xf numFmtId="0" fontId="9" fillId="0" borderId="77" xfId="90" applyBorder="1">
      <alignment/>
      <protection/>
    </xf>
    <xf numFmtId="0" fontId="9" fillId="0" borderId="51" xfId="90" applyBorder="1">
      <alignment/>
      <protection/>
    </xf>
    <xf numFmtId="0" fontId="9" fillId="0" borderId="74" xfId="90" applyNumberFormat="1" applyBorder="1" applyAlignment="1" quotePrefix="1">
      <alignment horizontal="center"/>
      <protection/>
    </xf>
    <xf numFmtId="9" fontId="9" fillId="0" borderId="52" xfId="90" applyNumberFormat="1" applyBorder="1" applyAlignment="1">
      <alignment horizontal="center"/>
      <protection/>
    </xf>
    <xf numFmtId="1" fontId="9" fillId="0" borderId="51" xfId="90" applyNumberFormat="1" applyBorder="1" applyAlignment="1">
      <alignment horizontal="center"/>
      <protection/>
    </xf>
    <xf numFmtId="0" fontId="9" fillId="0" borderId="78" xfId="90" applyBorder="1" applyAlignment="1">
      <alignment horizontal="center"/>
      <protection/>
    </xf>
    <xf numFmtId="0" fontId="9" fillId="0" borderId="71" xfId="90" applyBorder="1" applyAlignment="1">
      <alignment horizontal="center"/>
      <protection/>
    </xf>
    <xf numFmtId="0" fontId="9" fillId="0" borderId="79" xfId="90" applyBorder="1" applyAlignment="1">
      <alignment horizontal="center"/>
      <protection/>
    </xf>
    <xf numFmtId="0" fontId="9" fillId="0" borderId="57" xfId="90" applyBorder="1">
      <alignment/>
      <protection/>
    </xf>
    <xf numFmtId="0" fontId="9" fillId="0" borderId="21" xfId="90" applyBorder="1">
      <alignment/>
      <protection/>
    </xf>
    <xf numFmtId="0" fontId="9" fillId="0" borderId="22" xfId="90" applyBorder="1">
      <alignment/>
      <protection/>
    </xf>
    <xf numFmtId="9" fontId="9" fillId="0" borderId="22" xfId="90" applyNumberFormat="1" applyBorder="1" applyAlignment="1">
      <alignment horizontal="center"/>
      <protection/>
    </xf>
    <xf numFmtId="1" fontId="9" fillId="0" borderId="22" xfId="90" applyNumberFormat="1" applyBorder="1" applyAlignment="1">
      <alignment horizontal="center"/>
      <protection/>
    </xf>
    <xf numFmtId="0" fontId="9" fillId="0" borderId="28" xfId="90" applyBorder="1" applyAlignment="1">
      <alignment horizontal="center"/>
      <protection/>
    </xf>
    <xf numFmtId="0" fontId="9" fillId="0" borderId="31" xfId="90" applyBorder="1" applyAlignment="1">
      <alignment horizontal="center"/>
      <protection/>
    </xf>
    <xf numFmtId="0" fontId="9" fillId="0" borderId="70" xfId="90" applyBorder="1" applyAlignment="1">
      <alignment horizontal="center"/>
      <protection/>
    </xf>
    <xf numFmtId="0" fontId="9" fillId="0" borderId="33" xfId="90" applyBorder="1">
      <alignment/>
      <protection/>
    </xf>
    <xf numFmtId="0" fontId="9" fillId="0" borderId="27" xfId="90" applyBorder="1" applyAlignment="1">
      <alignment horizontal="center"/>
      <protection/>
    </xf>
    <xf numFmtId="0" fontId="9" fillId="0" borderId="27" xfId="90" applyBorder="1" applyAlignment="1" quotePrefix="1">
      <alignment horizontal="center"/>
      <protection/>
    </xf>
    <xf numFmtId="0" fontId="9" fillId="0" borderId="35" xfId="90" applyBorder="1">
      <alignment/>
      <protection/>
    </xf>
    <xf numFmtId="0" fontId="9" fillId="0" borderId="47" xfId="90" applyBorder="1" applyAlignment="1">
      <alignment horizontal="center"/>
      <protection/>
    </xf>
    <xf numFmtId="9" fontId="9" fillId="0" borderId="35" xfId="90" applyNumberFormat="1" applyBorder="1" applyAlignment="1">
      <alignment horizontal="center"/>
      <protection/>
    </xf>
    <xf numFmtId="1" fontId="9" fillId="0" borderId="35" xfId="90" applyNumberFormat="1" applyBorder="1" applyAlignment="1">
      <alignment horizontal="center"/>
      <protection/>
    </xf>
    <xf numFmtId="0" fontId="9" fillId="0" borderId="43" xfId="90" applyBorder="1" applyAlignment="1">
      <alignment horizontal="center"/>
      <protection/>
    </xf>
    <xf numFmtId="0" fontId="9" fillId="0" borderId="44" xfId="90" applyBorder="1" applyAlignment="1">
      <alignment horizontal="center"/>
      <protection/>
    </xf>
    <xf numFmtId="0" fontId="9" fillId="0" borderId="48" xfId="90" applyBorder="1" applyAlignment="1">
      <alignment horizontal="center"/>
      <protection/>
    </xf>
    <xf numFmtId="0" fontId="9" fillId="0" borderId="46" xfId="90" applyBorder="1">
      <alignment/>
      <protection/>
    </xf>
    <xf numFmtId="0" fontId="39" fillId="0" borderId="29" xfId="90" applyFont="1" applyBorder="1" applyAlignment="1">
      <alignment horizontal="center"/>
      <protection/>
    </xf>
    <xf numFmtId="14" fontId="38" fillId="0" borderId="29" xfId="90" applyNumberFormat="1" applyFont="1" applyBorder="1" applyAlignment="1">
      <alignment horizontal="center" vertical="center"/>
      <protection/>
    </xf>
    <xf numFmtId="0" fontId="40" fillId="0" borderId="0" xfId="90" applyFont="1" applyAlignment="1">
      <alignment horizontal="center"/>
      <protection/>
    </xf>
    <xf numFmtId="1" fontId="38" fillId="0" borderId="34" xfId="92" applyNumberFormat="1" applyFont="1" applyFill="1" applyBorder="1" applyAlignment="1" applyProtection="1">
      <alignment horizontal="center" vertical="center"/>
      <protection locked="0"/>
    </xf>
    <xf numFmtId="0" fontId="38" fillId="0" borderId="80" xfId="90" applyFont="1" applyBorder="1" applyAlignment="1">
      <alignment horizontal="center" vertical="center"/>
      <protection/>
    </xf>
    <xf numFmtId="0" fontId="38" fillId="0" borderId="47" xfId="90" applyFont="1" applyBorder="1" applyAlignment="1">
      <alignment horizontal="center" vertical="center"/>
      <protection/>
    </xf>
    <xf numFmtId="0" fontId="9" fillId="0" borderId="77" xfId="90" applyBorder="1" applyAlignment="1">
      <alignment horizontal="center"/>
      <protection/>
    </xf>
    <xf numFmtId="14" fontId="40" fillId="0" borderId="72" xfId="90" applyNumberFormat="1" applyFont="1" applyBorder="1" applyAlignment="1">
      <alignment horizontal="center"/>
      <protection/>
    </xf>
    <xf numFmtId="1" fontId="40" fillId="0" borderId="73" xfId="90" applyNumberFormat="1" applyFont="1" applyBorder="1" applyAlignment="1">
      <alignment horizontal="center"/>
      <protection/>
    </xf>
    <xf numFmtId="14" fontId="40" fillId="0" borderId="73" xfId="90" applyNumberFormat="1" applyFont="1" applyBorder="1" applyAlignment="1">
      <alignment horizontal="center"/>
      <protection/>
    </xf>
    <xf numFmtId="1" fontId="40" fillId="0" borderId="65" xfId="90" applyNumberFormat="1" applyFont="1" applyBorder="1" applyAlignment="1">
      <alignment horizontal="center"/>
      <protection/>
    </xf>
    <xf numFmtId="0" fontId="40" fillId="0" borderId="52" xfId="90" applyFont="1" applyBorder="1" applyAlignment="1">
      <alignment horizontal="center"/>
      <protection/>
    </xf>
    <xf numFmtId="1" fontId="40" fillId="0" borderId="52" xfId="90" applyNumberFormat="1" applyFont="1" applyBorder="1" applyAlignment="1">
      <alignment horizontal="center"/>
      <protection/>
    </xf>
    <xf numFmtId="0" fontId="9" fillId="0" borderId="21" xfId="90" applyBorder="1" applyAlignment="1">
      <alignment horizontal="center"/>
      <protection/>
    </xf>
    <xf numFmtId="14" fontId="40" fillId="0" borderId="67" xfId="90" applyNumberFormat="1" applyFont="1" applyBorder="1" applyAlignment="1">
      <alignment horizontal="center"/>
      <protection/>
    </xf>
    <xf numFmtId="14" fontId="40" fillId="0" borderId="29" xfId="90" applyNumberFormat="1" applyFont="1" applyBorder="1" applyAlignment="1">
      <alignment horizontal="center"/>
      <protection/>
    </xf>
    <xf numFmtId="1" fontId="40" fillId="0" borderId="74" xfId="90" applyNumberFormat="1" applyFont="1" applyBorder="1" applyAlignment="1">
      <alignment horizontal="center"/>
      <protection/>
    </xf>
    <xf numFmtId="0" fontId="40" fillId="0" borderId="22" xfId="90" applyFont="1" applyBorder="1" applyAlignment="1">
      <alignment horizontal="center"/>
      <protection/>
    </xf>
    <xf numFmtId="1" fontId="40" fillId="0" borderId="22" xfId="90" applyNumberFormat="1" applyFont="1" applyBorder="1" applyAlignment="1">
      <alignment horizontal="center"/>
      <protection/>
    </xf>
    <xf numFmtId="0" fontId="40" fillId="0" borderId="29" xfId="90" applyFont="1" applyBorder="1" applyAlignment="1">
      <alignment horizontal="center"/>
      <protection/>
    </xf>
    <xf numFmtId="1" fontId="40" fillId="0" borderId="22" xfId="90" applyNumberFormat="1" applyFont="1" applyBorder="1" applyAlignment="1" quotePrefix="1">
      <alignment horizontal="center"/>
      <protection/>
    </xf>
    <xf numFmtId="0" fontId="40" fillId="0" borderId="67" xfId="90" applyFont="1" applyBorder="1" applyAlignment="1">
      <alignment horizontal="center"/>
      <protection/>
    </xf>
    <xf numFmtId="1" fontId="38" fillId="0" borderId="35" xfId="92" applyNumberFormat="1" applyFont="1" applyFill="1" applyBorder="1" applyAlignment="1" applyProtection="1">
      <alignment horizontal="left" vertical="center"/>
      <protection locked="0"/>
    </xf>
    <xf numFmtId="176" fontId="38" fillId="0" borderId="35" xfId="92" applyNumberFormat="1" applyFont="1" applyFill="1" applyBorder="1" applyAlignment="1" applyProtection="1">
      <alignment horizontal="left" vertical="center"/>
      <protection locked="0"/>
    </xf>
    <xf numFmtId="0" fontId="1" fillId="58" borderId="72" xfId="93" applyFont="1" applyFill="1" applyBorder="1" applyAlignment="1" applyProtection="1">
      <alignment horizontal="center" vertical="center"/>
      <protection locked="0"/>
    </xf>
    <xf numFmtId="0" fontId="1" fillId="58" borderId="73" xfId="93" applyFont="1" applyFill="1" applyBorder="1" applyAlignment="1" applyProtection="1">
      <alignment horizontal="center" vertical="center"/>
      <protection locked="0"/>
    </xf>
    <xf numFmtId="0" fontId="1" fillId="58" borderId="71" xfId="93" applyFont="1" applyFill="1" applyBorder="1" applyAlignment="1" applyProtection="1">
      <alignment horizontal="center" vertical="center"/>
      <protection locked="0"/>
    </xf>
    <xf numFmtId="0" fontId="1" fillId="58" borderId="67" xfId="93" applyFont="1" applyFill="1" applyBorder="1" applyAlignment="1" applyProtection="1">
      <alignment horizontal="center" vertical="center"/>
      <protection locked="0"/>
    </xf>
    <xf numFmtId="0" fontId="1" fillId="58" borderId="29" xfId="93" applyFont="1" applyFill="1" applyBorder="1" applyAlignment="1" applyProtection="1">
      <alignment horizontal="center" vertical="center"/>
      <protection locked="0"/>
    </xf>
    <xf numFmtId="0" fontId="1" fillId="0" borderId="67" xfId="93" applyFont="1" applyFill="1" applyBorder="1" applyAlignment="1" applyProtection="1">
      <alignment horizontal="center" vertical="center"/>
      <protection locked="0"/>
    </xf>
    <xf numFmtId="0" fontId="1" fillId="0" borderId="29" xfId="93" applyFont="1" applyFill="1" applyBorder="1" applyAlignment="1" applyProtection="1">
      <alignment horizontal="center" vertical="center"/>
      <protection locked="0"/>
    </xf>
    <xf numFmtId="0" fontId="9" fillId="0" borderId="76" xfId="90" applyBorder="1">
      <alignment/>
      <protection/>
    </xf>
    <xf numFmtId="0" fontId="1" fillId="58" borderId="37" xfId="93" applyFont="1" applyFill="1" applyBorder="1" applyAlignment="1" applyProtection="1">
      <alignment horizontal="center" vertical="center"/>
      <protection locked="0"/>
    </xf>
    <xf numFmtId="0" fontId="1" fillId="58" borderId="38" xfId="93" applyFont="1" applyFill="1" applyBorder="1" applyAlignment="1" applyProtection="1">
      <alignment horizontal="center" vertical="center"/>
      <protection locked="0"/>
    </xf>
    <xf numFmtId="0" fontId="1" fillId="58" borderId="44" xfId="93" applyFont="1" applyFill="1" applyBorder="1" applyAlignment="1" applyProtection="1">
      <alignment horizontal="center" vertical="center"/>
      <protection locked="0"/>
    </xf>
    <xf numFmtId="0" fontId="9" fillId="0" borderId="81" xfId="90" applyBorder="1">
      <alignment/>
      <protection/>
    </xf>
    <xf numFmtId="0" fontId="9" fillId="0" borderId="0" xfId="90" applyBorder="1">
      <alignment/>
      <protection/>
    </xf>
    <xf numFmtId="0" fontId="6" fillId="0" borderId="0" xfId="90" applyFont="1" applyAlignment="1">
      <alignment horizontal="center" vertical="center"/>
      <protection/>
    </xf>
    <xf numFmtId="0" fontId="6" fillId="0" borderId="0" xfId="90" applyFont="1">
      <alignment/>
      <protection/>
    </xf>
    <xf numFmtId="0" fontId="9" fillId="0" borderId="0" xfId="90" quotePrefix="1">
      <alignment/>
      <protection/>
    </xf>
    <xf numFmtId="0" fontId="41" fillId="58" borderId="31" xfId="93" applyFont="1" applyFill="1" applyBorder="1" applyAlignment="1" applyProtection="1">
      <alignment horizontal="center" vertical="center"/>
      <protection locked="0"/>
    </xf>
    <xf numFmtId="0" fontId="24" fillId="0" borderId="22" xfId="90" applyFont="1" applyBorder="1">
      <alignment/>
      <protection/>
    </xf>
    <xf numFmtId="0" fontId="9" fillId="0" borderId="22" xfId="90" applyBorder="1" quotePrefix="1">
      <alignment/>
      <protection/>
    </xf>
    <xf numFmtId="1" fontId="38" fillId="0" borderId="34" xfId="92" applyNumberFormat="1" applyFont="1" applyFill="1" applyBorder="1" applyAlignment="1" applyProtection="1">
      <alignment horizontal="left" vertical="center"/>
      <protection locked="0"/>
    </xf>
    <xf numFmtId="1" fontId="38" fillId="0" borderId="37" xfId="92" applyNumberFormat="1" applyFont="1" applyFill="1" applyBorder="1" applyAlignment="1" applyProtection="1">
      <alignment horizontal="left" vertical="center"/>
      <protection locked="0"/>
    </xf>
    <xf numFmtId="0" fontId="9" fillId="0" borderId="72" xfId="90" applyBorder="1">
      <alignment/>
      <protection/>
    </xf>
    <xf numFmtId="0" fontId="9" fillId="0" borderId="73" xfId="90" applyBorder="1">
      <alignment/>
      <protection/>
    </xf>
    <xf numFmtId="0" fontId="9" fillId="0" borderId="74" xfId="90" applyBorder="1">
      <alignment/>
      <protection/>
    </xf>
    <xf numFmtId="0" fontId="9" fillId="0" borderId="67" xfId="90" applyBorder="1">
      <alignment/>
      <protection/>
    </xf>
    <xf numFmtId="0" fontId="9" fillId="0" borderId="29" xfId="90" applyBorder="1">
      <alignment/>
      <protection/>
    </xf>
    <xf numFmtId="0" fontId="9" fillId="0" borderId="27" xfId="90" applyBorder="1">
      <alignment/>
      <protection/>
    </xf>
    <xf numFmtId="1" fontId="9" fillId="0" borderId="0" xfId="90" applyNumberFormat="1">
      <alignment/>
      <protection/>
    </xf>
    <xf numFmtId="1" fontId="28" fillId="0" borderId="69" xfId="92" applyNumberFormat="1" applyFont="1" applyFill="1" applyBorder="1" applyAlignment="1" applyProtection="1">
      <alignment horizontal="left" vertical="center"/>
      <protection locked="0"/>
    </xf>
    <xf numFmtId="1" fontId="28" fillId="0" borderId="33" xfId="92" applyNumberFormat="1" applyFont="1" applyFill="1" applyBorder="1" applyAlignment="1" applyProtection="1">
      <alignment horizontal="left" vertical="center"/>
      <protection locked="0"/>
    </xf>
    <xf numFmtId="176" fontId="28" fillId="0" borderId="33" xfId="92" applyNumberFormat="1" applyFont="1" applyFill="1" applyBorder="1" applyAlignment="1" applyProtection="1">
      <alignment vertical="center"/>
      <protection locked="0"/>
    </xf>
    <xf numFmtId="2" fontId="37" fillId="0" borderId="46" xfId="90" applyNumberFormat="1" applyFont="1" applyFill="1" applyBorder="1" applyAlignment="1">
      <alignment vertical="center"/>
      <protection/>
    </xf>
    <xf numFmtId="2" fontId="38" fillId="0" borderId="46" xfId="90" applyNumberFormat="1" applyFont="1" applyFill="1" applyBorder="1" applyAlignment="1" applyProtection="1">
      <alignment vertical="center"/>
      <protection locked="0"/>
    </xf>
    <xf numFmtId="0" fontId="38" fillId="0" borderId="46" xfId="90" applyFont="1" applyFill="1" applyBorder="1" applyAlignment="1" applyProtection="1">
      <alignment vertical="center"/>
      <protection locked="0"/>
    </xf>
    <xf numFmtId="0" fontId="37" fillId="0" borderId="0" xfId="92" applyFont="1" applyFill="1" applyBorder="1" applyAlignment="1" applyProtection="1">
      <alignment horizontal="center" vertical="center"/>
      <protection locked="0"/>
    </xf>
    <xf numFmtId="9" fontId="9" fillId="0" borderId="0" xfId="90" applyNumberFormat="1">
      <alignment/>
      <protection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" fontId="2" fillId="0" borderId="0" xfId="0" applyNumberFormat="1" applyFont="1" applyAlignment="1" quotePrefix="1">
      <alignment/>
    </xf>
    <xf numFmtId="0" fontId="37" fillId="0" borderId="47" xfId="9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 quotePrefix="1">
      <alignment wrapText="1"/>
    </xf>
    <xf numFmtId="0" fontId="0" fillId="0" borderId="0" xfId="0" applyFont="1" applyAlignment="1" quotePrefix="1">
      <alignment/>
    </xf>
    <xf numFmtId="2" fontId="28" fillId="0" borderId="33" xfId="90" applyNumberFormat="1" applyFont="1" applyFill="1" applyBorder="1" applyAlignment="1" applyProtection="1">
      <alignment horizontal="center" vertical="center"/>
      <protection locked="0"/>
    </xf>
    <xf numFmtId="10" fontId="28" fillId="0" borderId="33" xfId="90" applyNumberFormat="1" applyFont="1" applyFill="1" applyBorder="1" applyAlignment="1" applyProtection="1">
      <alignment horizontal="center" vertical="center"/>
      <protection locked="0"/>
    </xf>
    <xf numFmtId="0" fontId="28" fillId="0" borderId="82" xfId="90" applyFont="1" applyFill="1" applyBorder="1" applyAlignment="1" applyProtection="1">
      <alignment horizontal="center" vertical="center"/>
      <protection locked="0"/>
    </xf>
    <xf numFmtId="0" fontId="43" fillId="0" borderId="83" xfId="90" applyFont="1" applyBorder="1" applyAlignment="1">
      <alignment horizontal="center" vertical="center"/>
      <protection/>
    </xf>
    <xf numFmtId="0" fontId="43" fillId="0" borderId="38" xfId="90" applyFont="1" applyBorder="1" applyAlignment="1">
      <alignment horizontal="center" vertical="center"/>
      <protection/>
    </xf>
    <xf numFmtId="2" fontId="44" fillId="0" borderId="0" xfId="90" applyNumberFormat="1" applyFont="1" applyAlignment="1">
      <alignment horizontal="center"/>
      <protection/>
    </xf>
    <xf numFmtId="10" fontId="44" fillId="0" borderId="0" xfId="90" applyNumberFormat="1" applyFont="1" applyAlignment="1">
      <alignment horizontal="center"/>
      <protection/>
    </xf>
    <xf numFmtId="2" fontId="44" fillId="0" borderId="52" xfId="90" applyNumberFormat="1" applyFont="1" applyBorder="1" applyAlignment="1">
      <alignment horizontal="center"/>
      <protection/>
    </xf>
    <xf numFmtId="10" fontId="44" fillId="0" borderId="52" xfId="90" applyNumberFormat="1" applyFont="1" applyBorder="1" applyAlignment="1">
      <alignment horizontal="center"/>
      <protection/>
    </xf>
    <xf numFmtId="2" fontId="44" fillId="0" borderId="22" xfId="90" applyNumberFormat="1" applyFont="1" applyBorder="1" applyAlignment="1">
      <alignment horizontal="center"/>
      <protection/>
    </xf>
    <xf numFmtId="10" fontId="44" fillId="0" borderId="22" xfId="90" applyNumberFormat="1" applyFont="1" applyBorder="1" applyAlignment="1">
      <alignment horizontal="center"/>
      <protection/>
    </xf>
    <xf numFmtId="2" fontId="44" fillId="0" borderId="22" xfId="90" applyNumberFormat="1" applyFont="1" applyFill="1" applyBorder="1" applyAlignment="1">
      <alignment horizontal="center"/>
      <protection/>
    </xf>
    <xf numFmtId="10" fontId="44" fillId="0" borderId="22" xfId="90" applyNumberFormat="1" applyFont="1" applyFill="1" applyBorder="1" applyAlignment="1">
      <alignment horizontal="center"/>
      <protection/>
    </xf>
    <xf numFmtId="2" fontId="44" fillId="0" borderId="35" xfId="90" applyNumberFormat="1" applyFont="1" applyBorder="1" applyAlignment="1">
      <alignment horizontal="center"/>
      <protection/>
    </xf>
    <xf numFmtId="10" fontId="44" fillId="0" borderId="35" xfId="90" applyNumberFormat="1" applyFont="1" applyBorder="1" applyAlignment="1">
      <alignment horizontal="center"/>
      <protection/>
    </xf>
    <xf numFmtId="183" fontId="27" fillId="0" borderId="47" xfId="90" applyNumberFormat="1" applyFont="1" applyFill="1" applyBorder="1" applyAlignment="1">
      <alignment horizontal="center" vertical="center"/>
      <protection/>
    </xf>
    <xf numFmtId="183" fontId="26" fillId="56" borderId="65" xfId="90" applyNumberFormat="1" applyFont="1" applyFill="1" applyBorder="1" applyAlignment="1">
      <alignment horizontal="center"/>
      <protection/>
    </xf>
    <xf numFmtId="183" fontId="26" fillId="56" borderId="27" xfId="90" applyNumberFormat="1" applyFont="1" applyFill="1" applyBorder="1" applyAlignment="1">
      <alignment horizontal="center"/>
      <protection/>
    </xf>
    <xf numFmtId="183" fontId="26" fillId="56" borderId="33" xfId="90" applyNumberFormat="1" applyFont="1" applyFill="1" applyBorder="1" applyAlignment="1">
      <alignment horizontal="center"/>
      <protection/>
    </xf>
    <xf numFmtId="183" fontId="26" fillId="0" borderId="33" xfId="90" applyNumberFormat="1" applyFont="1" applyFill="1" applyBorder="1" applyAlignment="1">
      <alignment horizontal="center"/>
      <protection/>
    </xf>
    <xf numFmtId="183" fontId="26" fillId="0" borderId="27" xfId="90" applyNumberFormat="1" applyFont="1" applyFill="1" applyBorder="1" applyAlignment="1">
      <alignment horizontal="center"/>
      <protection/>
    </xf>
    <xf numFmtId="0" fontId="33" fillId="0" borderId="0" xfId="0" applyFont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wrapText="1"/>
    </xf>
    <xf numFmtId="2" fontId="33" fillId="0" borderId="0" xfId="0" applyNumberFormat="1" applyFont="1" applyFill="1" applyAlignment="1">
      <alignment horizontal="center" wrapText="1"/>
    </xf>
    <xf numFmtId="2" fontId="33" fillId="0" borderId="29" xfId="0" applyNumberFormat="1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" fontId="85" fillId="0" borderId="0" xfId="0" applyNumberFormat="1" applyFont="1" applyAlignment="1">
      <alignment/>
    </xf>
    <xf numFmtId="2" fontId="0" fillId="0" borderId="29" xfId="0" applyNumberFormat="1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0" borderId="29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2" fontId="37" fillId="0" borderId="35" xfId="92" applyNumberFormat="1" applyFont="1" applyFill="1" applyBorder="1" applyAlignment="1" applyProtection="1">
      <alignment horizontal="left" vertical="center"/>
      <protection locked="0"/>
    </xf>
    <xf numFmtId="2" fontId="9" fillId="0" borderId="51" xfId="90" applyNumberFormat="1" applyBorder="1">
      <alignment/>
      <protection/>
    </xf>
    <xf numFmtId="2" fontId="9" fillId="0" borderId="22" xfId="90" applyNumberFormat="1" applyBorder="1">
      <alignment/>
      <protection/>
    </xf>
    <xf numFmtId="2" fontId="9" fillId="0" borderId="35" xfId="90" applyNumberFormat="1" applyBorder="1">
      <alignment/>
      <protection/>
    </xf>
    <xf numFmtId="0" fontId="35" fillId="58" borderId="29" xfId="93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35" fillId="0" borderId="29" xfId="93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>
      <alignment horizontal="center" wrapText="1"/>
    </xf>
    <xf numFmtId="176" fontId="7" fillId="0" borderId="0" xfId="91" applyNumberFormat="1" applyFont="1" applyAlignment="1">
      <alignment horizontal="center"/>
      <protection/>
    </xf>
    <xf numFmtId="0" fontId="28" fillId="0" borderId="33" xfId="90" applyFont="1" applyFill="1" applyBorder="1" applyAlignment="1" applyProtection="1">
      <alignment horizontal="center" vertical="center"/>
      <protection locked="0"/>
    </xf>
    <xf numFmtId="0" fontId="28" fillId="0" borderId="25" xfId="90" applyFont="1" applyFill="1" applyBorder="1" applyAlignment="1" applyProtection="1">
      <alignment horizontal="center" vertical="center"/>
      <protection locked="0"/>
    </xf>
    <xf numFmtId="1" fontId="28" fillId="0" borderId="84" xfId="92" applyNumberFormat="1" applyFont="1" applyFill="1" applyBorder="1" applyAlignment="1" applyProtection="1">
      <alignment horizontal="center" vertical="center"/>
      <protection locked="0"/>
    </xf>
    <xf numFmtId="1" fontId="28" fillId="0" borderId="18" xfId="92" applyNumberFormat="1" applyFont="1" applyFill="1" applyBorder="1" applyAlignment="1" applyProtection="1">
      <alignment horizontal="center" vertical="center"/>
      <protection locked="0"/>
    </xf>
    <xf numFmtId="1" fontId="28" fillId="0" borderId="85" xfId="92" applyNumberFormat="1" applyFont="1" applyFill="1" applyBorder="1" applyAlignment="1" applyProtection="1">
      <alignment horizontal="center" vertical="center"/>
      <protection locked="0"/>
    </xf>
    <xf numFmtId="1" fontId="28" fillId="0" borderId="18" xfId="93" applyNumberFormat="1" applyFont="1" applyFill="1" applyBorder="1" applyAlignment="1" applyProtection="1">
      <alignment horizontal="center" vertical="center"/>
      <protection locked="0"/>
    </xf>
    <xf numFmtId="1" fontId="28" fillId="0" borderId="86" xfId="92" applyNumberFormat="1" applyFont="1" applyFill="1" applyBorder="1" applyAlignment="1" applyProtection="1">
      <alignment horizontal="center" vertical="center"/>
      <protection locked="0"/>
    </xf>
    <xf numFmtId="1" fontId="28" fillId="0" borderId="0" xfId="92" applyNumberFormat="1" applyFont="1" applyFill="1" applyBorder="1" applyAlignment="1" applyProtection="1">
      <alignment horizontal="center" vertical="center"/>
      <protection locked="0"/>
    </xf>
    <xf numFmtId="0" fontId="27" fillId="0" borderId="87" xfId="90" applyFont="1" applyFill="1" applyBorder="1" applyAlignment="1">
      <alignment horizontal="center"/>
      <protection/>
    </xf>
    <xf numFmtId="176" fontId="28" fillId="0" borderId="33" xfId="92" applyNumberFormat="1" applyFont="1" applyFill="1" applyBorder="1" applyAlignment="1" applyProtection="1">
      <alignment horizontal="center" vertical="center"/>
      <protection locked="0"/>
    </xf>
    <xf numFmtId="176" fontId="28" fillId="0" borderId="25" xfId="92" applyNumberFormat="1" applyFont="1" applyFill="1" applyBorder="1" applyAlignment="1" applyProtection="1">
      <alignment horizontal="center" vertical="center"/>
      <protection locked="0"/>
    </xf>
    <xf numFmtId="1" fontId="28" fillId="0" borderId="26" xfId="92" applyNumberFormat="1" applyFont="1" applyFill="1" applyBorder="1" applyAlignment="1" applyProtection="1">
      <alignment horizontal="center" vertical="center"/>
      <protection locked="0"/>
    </xf>
    <xf numFmtId="1" fontId="28" fillId="0" borderId="25" xfId="92" applyNumberFormat="1" applyFont="1" applyFill="1" applyBorder="1" applyAlignment="1" applyProtection="1">
      <alignment horizontal="center" vertical="center"/>
      <protection locked="0"/>
    </xf>
    <xf numFmtId="0" fontId="27" fillId="0" borderId="33" xfId="90" applyFont="1" applyFill="1" applyBorder="1" applyAlignment="1">
      <alignment horizontal="center" vertical="center"/>
      <protection/>
    </xf>
    <xf numFmtId="0" fontId="27" fillId="0" borderId="25" xfId="90" applyFont="1" applyFill="1" applyBorder="1" applyAlignment="1">
      <alignment horizontal="center" vertical="center"/>
      <protection/>
    </xf>
    <xf numFmtId="0" fontId="27" fillId="0" borderId="69" xfId="90" applyFont="1" applyFill="1" applyBorder="1" applyAlignment="1">
      <alignment horizontal="center" vertical="center"/>
      <protection/>
    </xf>
    <xf numFmtId="184" fontId="28" fillId="0" borderId="33" xfId="92" applyNumberFormat="1" applyFont="1" applyFill="1" applyBorder="1" applyAlignment="1" applyProtection="1">
      <alignment horizontal="center" vertical="center"/>
      <protection locked="0"/>
    </xf>
    <xf numFmtId="184" fontId="28" fillId="0" borderId="25" xfId="92" applyNumberFormat="1" applyFont="1" applyFill="1" applyBorder="1" applyAlignment="1" applyProtection="1">
      <alignment horizontal="center" vertical="center"/>
      <protection locked="0"/>
    </xf>
    <xf numFmtId="184" fontId="28" fillId="0" borderId="69" xfId="92" applyNumberFormat="1" applyFont="1" applyFill="1" applyBorder="1" applyAlignment="1" applyProtection="1">
      <alignment horizontal="center" vertical="center"/>
      <protection locked="0"/>
    </xf>
    <xf numFmtId="1" fontId="30" fillId="0" borderId="33" xfId="92" applyNumberFormat="1" applyFont="1" applyFill="1" applyBorder="1" applyAlignment="1" applyProtection="1">
      <alignment horizontal="center" vertical="center"/>
      <protection locked="0"/>
    </xf>
    <xf numFmtId="1" fontId="30" fillId="0" borderId="25" xfId="92" applyNumberFormat="1" applyFont="1" applyFill="1" applyBorder="1" applyAlignment="1" applyProtection="1">
      <alignment horizontal="center" vertical="center"/>
      <protection locked="0"/>
    </xf>
    <xf numFmtId="1" fontId="30" fillId="0" borderId="69" xfId="92" applyNumberFormat="1" applyFont="1" applyFill="1" applyBorder="1" applyAlignment="1" applyProtection="1">
      <alignment horizontal="center" vertical="center"/>
      <protection locked="0"/>
    </xf>
    <xf numFmtId="0" fontId="27" fillId="0" borderId="26" xfId="90" applyFont="1" applyFill="1" applyBorder="1" applyAlignment="1">
      <alignment horizontal="center"/>
      <protection/>
    </xf>
    <xf numFmtId="0" fontId="27" fillId="0" borderId="69" xfId="90" applyFont="1" applyFill="1" applyBorder="1" applyAlignment="1">
      <alignment horizontal="center"/>
      <protection/>
    </xf>
    <xf numFmtId="0" fontId="38" fillId="0" borderId="46" xfId="90" applyFont="1" applyFill="1" applyBorder="1" applyAlignment="1" applyProtection="1">
      <alignment horizontal="center" vertical="center"/>
      <protection locked="0"/>
    </xf>
    <xf numFmtId="0" fontId="38" fillId="0" borderId="39" xfId="90" applyFont="1" applyFill="1" applyBorder="1" applyAlignment="1" applyProtection="1">
      <alignment horizontal="center" vertical="center"/>
      <protection locked="0"/>
    </xf>
    <xf numFmtId="0" fontId="38" fillId="0" borderId="41" xfId="90" applyFont="1" applyFill="1" applyBorder="1" applyAlignment="1" applyProtection="1">
      <alignment horizontal="center" vertical="center"/>
      <protection locked="0"/>
    </xf>
    <xf numFmtId="2" fontId="37" fillId="0" borderId="46" xfId="90" applyNumberFormat="1" applyFont="1" applyFill="1" applyBorder="1" applyAlignment="1">
      <alignment horizontal="center" vertical="center"/>
      <protection/>
    </xf>
    <xf numFmtId="2" fontId="37" fillId="0" borderId="39" xfId="90" applyNumberFormat="1" applyFont="1" applyFill="1" applyBorder="1" applyAlignment="1">
      <alignment horizontal="center" vertical="center"/>
      <protection/>
    </xf>
    <xf numFmtId="2" fontId="37" fillId="0" borderId="41" xfId="90" applyNumberFormat="1" applyFont="1" applyFill="1" applyBorder="1" applyAlignment="1">
      <alignment horizontal="center" vertical="center"/>
      <protection/>
    </xf>
    <xf numFmtId="2" fontId="38" fillId="0" borderId="46" xfId="90" applyNumberFormat="1" applyFont="1" applyFill="1" applyBorder="1" applyAlignment="1" applyProtection="1">
      <alignment horizontal="center" vertical="center"/>
      <protection locked="0"/>
    </xf>
    <xf numFmtId="2" fontId="38" fillId="0" borderId="39" xfId="90" applyNumberFormat="1" applyFont="1" applyFill="1" applyBorder="1" applyAlignment="1" applyProtection="1">
      <alignment horizontal="center" vertical="center"/>
      <protection locked="0"/>
    </xf>
    <xf numFmtId="2" fontId="38" fillId="0" borderId="41" xfId="90" applyNumberFormat="1" applyFont="1" applyFill="1" applyBorder="1" applyAlignment="1" applyProtection="1">
      <alignment horizontal="center" vertical="center"/>
      <protection locked="0"/>
    </xf>
    <xf numFmtId="1" fontId="45" fillId="0" borderId="88" xfId="92" applyNumberFormat="1" applyFont="1" applyFill="1" applyBorder="1" applyAlignment="1" applyProtection="1">
      <alignment horizontal="center" vertical="center"/>
      <protection locked="0"/>
    </xf>
    <xf numFmtId="1" fontId="45" fillId="0" borderId="75" xfId="92" applyNumberFormat="1" applyFont="1" applyFill="1" applyBorder="1" applyAlignment="1" applyProtection="1">
      <alignment horizontal="center" vertical="center"/>
      <protection locked="0"/>
    </xf>
    <xf numFmtId="1" fontId="45" fillId="0" borderId="89" xfId="92" applyNumberFormat="1" applyFont="1" applyFill="1" applyBorder="1" applyAlignment="1" applyProtection="1">
      <alignment horizontal="center" vertical="center"/>
      <protection locked="0"/>
    </xf>
    <xf numFmtId="1" fontId="45" fillId="0" borderId="90" xfId="92" applyNumberFormat="1" applyFont="1" applyFill="1" applyBorder="1" applyAlignment="1" applyProtection="1">
      <alignment horizontal="center" vertical="center"/>
      <protection locked="0"/>
    </xf>
    <xf numFmtId="176" fontId="38" fillId="0" borderId="37" xfId="93" applyNumberFormat="1" applyFont="1" applyFill="1" applyBorder="1" applyAlignment="1" applyProtection="1">
      <alignment horizontal="center" vertical="center"/>
      <protection locked="0"/>
    </xf>
    <xf numFmtId="176" fontId="38" fillId="0" borderId="38" xfId="93" applyNumberFormat="1" applyFont="1" applyFill="1" applyBorder="1" applyAlignment="1" applyProtection="1">
      <alignment horizontal="center" vertical="center"/>
      <protection locked="0"/>
    </xf>
    <xf numFmtId="176" fontId="38" fillId="0" borderId="44" xfId="93" applyNumberFormat="1" applyFont="1" applyFill="1" applyBorder="1" applyAlignment="1" applyProtection="1">
      <alignment horizontal="center" vertical="center"/>
      <protection locked="0"/>
    </xf>
    <xf numFmtId="1" fontId="38" fillId="0" borderId="35" xfId="92" applyNumberFormat="1" applyFont="1" applyFill="1" applyBorder="1" applyAlignment="1" applyProtection="1">
      <alignment horizontal="center" vertical="center"/>
      <protection locked="0"/>
    </xf>
    <xf numFmtId="1" fontId="38" fillId="0" borderId="46" xfId="92" applyNumberFormat="1" applyFont="1" applyFill="1" applyBorder="1" applyAlignment="1" applyProtection="1">
      <alignment horizontal="center" vertical="center"/>
      <protection locked="0"/>
    </xf>
    <xf numFmtId="1" fontId="38" fillId="0" borderId="43" xfId="92" applyNumberFormat="1" applyFont="1" applyFill="1" applyBorder="1" applyAlignment="1" applyProtection="1">
      <alignment horizontal="center" vertical="center"/>
      <protection locked="0"/>
    </xf>
    <xf numFmtId="1" fontId="38" fillId="0" borderId="41" xfId="92" applyNumberFormat="1" applyFont="1" applyFill="1" applyBorder="1" applyAlignment="1" applyProtection="1">
      <alignment horizontal="center" vertical="center"/>
      <protection locked="0"/>
    </xf>
    <xf numFmtId="1" fontId="38" fillId="0" borderId="91" xfId="92" applyNumberFormat="1" applyFont="1" applyFill="1" applyBorder="1" applyAlignment="1" applyProtection="1">
      <alignment horizontal="center" vertical="center"/>
      <protection locked="0"/>
    </xf>
    <xf numFmtId="1" fontId="28" fillId="0" borderId="33" xfId="92" applyNumberFormat="1" applyFont="1" applyFill="1" applyBorder="1" applyAlignment="1" applyProtection="1">
      <alignment horizontal="center" vertical="center"/>
      <protection locked="0"/>
    </xf>
    <xf numFmtId="1" fontId="28" fillId="0" borderId="69" xfId="92" applyNumberFormat="1" applyFont="1" applyFill="1" applyBorder="1" applyAlignment="1" applyProtection="1">
      <alignment horizontal="center" vertical="center"/>
      <protection locked="0"/>
    </xf>
    <xf numFmtId="0" fontId="28" fillId="0" borderId="69" xfId="90" applyFont="1" applyFill="1" applyBorder="1" applyAlignment="1" applyProtection="1">
      <alignment horizontal="center" vertical="center"/>
      <protection locked="0"/>
    </xf>
    <xf numFmtId="0" fontId="37" fillId="0" borderId="46" xfId="92" applyFont="1" applyFill="1" applyBorder="1" applyAlignment="1" applyProtection="1">
      <alignment horizontal="center" vertical="center"/>
      <protection locked="0"/>
    </xf>
    <xf numFmtId="0" fontId="37" fillId="0" borderId="39" xfId="92" applyFont="1" applyFill="1" applyBorder="1" applyAlignment="1" applyProtection="1">
      <alignment horizontal="center" vertical="center"/>
      <protection locked="0"/>
    </xf>
    <xf numFmtId="0" fontId="37" fillId="0" borderId="46" xfId="90" applyFont="1" applyFill="1" applyBorder="1" applyAlignment="1">
      <alignment horizontal="center"/>
      <protection/>
    </xf>
    <xf numFmtId="0" fontId="37" fillId="0" borderId="41" xfId="90" applyFont="1" applyFill="1" applyBorder="1" applyAlignment="1">
      <alignment horizontal="center"/>
      <protection/>
    </xf>
    <xf numFmtId="0" fontId="37" fillId="0" borderId="41" xfId="92" applyFont="1" applyFill="1" applyBorder="1" applyAlignment="1" applyProtection="1">
      <alignment horizontal="center" vertical="center"/>
      <protection locked="0"/>
    </xf>
    <xf numFmtId="9" fontId="38" fillId="0" borderId="46" xfId="92" applyNumberFormat="1" applyFont="1" applyFill="1" applyBorder="1" applyAlignment="1" applyProtection="1">
      <alignment horizontal="center" vertical="center"/>
      <protection locked="0"/>
    </xf>
    <xf numFmtId="9" fontId="38" fillId="0" borderId="41" xfId="92" applyNumberFormat="1" applyFont="1" applyFill="1" applyBorder="1" applyAlignment="1" applyProtection="1">
      <alignment horizontal="center" vertical="center"/>
      <protection locked="0"/>
    </xf>
    <xf numFmtId="0" fontId="2" fillId="59" borderId="0" xfId="0" applyFont="1" applyFill="1" applyAlignment="1">
      <alignment/>
    </xf>
    <xf numFmtId="0" fontId="2" fillId="59" borderId="0" xfId="0" applyFont="1" applyFill="1" applyAlignment="1">
      <alignment/>
    </xf>
    <xf numFmtId="0" fontId="6" fillId="59" borderId="0" xfId="0" applyFont="1" applyFill="1" applyAlignment="1">
      <alignment/>
    </xf>
    <xf numFmtId="0" fontId="57" fillId="59" borderId="0" xfId="0" applyFont="1" applyFill="1" applyAlignment="1">
      <alignment/>
    </xf>
    <xf numFmtId="0" fontId="0" fillId="59" borderId="0" xfId="0" applyFont="1" applyFill="1" applyAlignment="1">
      <alignment/>
    </xf>
    <xf numFmtId="0" fontId="2" fillId="59" borderId="18" xfId="0" applyFont="1" applyFill="1" applyBorder="1" applyAlignment="1">
      <alignment/>
    </xf>
    <xf numFmtId="0" fontId="0" fillId="59" borderId="18" xfId="0" applyFont="1" applyFill="1" applyBorder="1" applyAlignment="1">
      <alignment/>
    </xf>
    <xf numFmtId="0" fontId="2" fillId="59" borderId="18" xfId="0" applyFont="1" applyFill="1" applyBorder="1" applyAlignment="1">
      <alignment/>
    </xf>
    <xf numFmtId="0" fontId="26" fillId="0" borderId="0" xfId="90" applyFont="1" applyFill="1" applyAlignment="1">
      <alignment horizontal="center"/>
      <protection/>
    </xf>
    <xf numFmtId="0" fontId="26" fillId="0" borderId="0" xfId="90" applyFont="1" applyFill="1">
      <alignment/>
      <protection/>
    </xf>
    <xf numFmtId="0" fontId="26" fillId="0" borderId="92" xfId="90" applyFont="1" applyFill="1" applyBorder="1">
      <alignment/>
      <protection/>
    </xf>
    <xf numFmtId="0" fontId="28" fillId="0" borderId="92" xfId="90" applyFont="1" applyFill="1" applyBorder="1" applyAlignment="1">
      <alignment horizontal="center" vertical="center"/>
      <protection/>
    </xf>
    <xf numFmtId="0" fontId="32" fillId="56" borderId="93" xfId="93" applyFont="1" applyFill="1" applyBorder="1" applyAlignment="1" applyProtection="1">
      <alignment horizontal="center" vertical="center"/>
      <protection locked="0"/>
    </xf>
    <xf numFmtId="0" fontId="32" fillId="56" borderId="33" xfId="93" applyFont="1" applyFill="1" applyBorder="1" applyAlignment="1" applyProtection="1">
      <alignment horizontal="center" vertical="center"/>
      <protection locked="0"/>
    </xf>
    <xf numFmtId="0" fontId="33" fillId="0" borderId="33" xfId="93" applyFont="1" applyFill="1" applyBorder="1" applyAlignment="1" applyProtection="1">
      <alignment horizontal="center" vertical="center"/>
      <protection locked="0"/>
    </xf>
    <xf numFmtId="0" fontId="33" fillId="56" borderId="33" xfId="93" applyFont="1" applyFill="1" applyBorder="1" applyAlignment="1" applyProtection="1">
      <alignment horizontal="center" vertical="center"/>
      <protection locked="0"/>
    </xf>
    <xf numFmtId="0" fontId="61" fillId="59" borderId="52" xfId="90" applyFont="1" applyFill="1" applyBorder="1" applyAlignment="1">
      <alignment horizontal="center" wrapText="1"/>
      <protection/>
    </xf>
    <xf numFmtId="1" fontId="58" fillId="59" borderId="22" xfId="0" applyNumberFormat="1" applyFont="1" applyFill="1" applyBorder="1" applyAlignment="1">
      <alignment horizontal="center"/>
    </xf>
    <xf numFmtId="1" fontId="58" fillId="59" borderId="35" xfId="0" applyNumberFormat="1" applyFont="1" applyFill="1" applyBorder="1" applyAlignment="1">
      <alignment horizontal="center"/>
    </xf>
    <xf numFmtId="1" fontId="59" fillId="59" borderId="52" xfId="92" applyNumberFormat="1" applyFont="1" applyFill="1" applyBorder="1" applyAlignment="1" applyProtection="1">
      <alignment horizontal="center" vertical="center" wrapText="1"/>
      <protection locked="0"/>
    </xf>
    <xf numFmtId="0" fontId="60" fillId="59" borderId="22" xfId="0" applyFont="1" applyFill="1" applyBorder="1" applyAlignment="1">
      <alignment horizontal="center"/>
    </xf>
    <xf numFmtId="0" fontId="60" fillId="59" borderId="35" xfId="0" applyFont="1" applyFill="1" applyBorder="1" applyAlignment="1">
      <alignment horizontal="center"/>
    </xf>
    <xf numFmtId="0" fontId="61" fillId="59" borderId="94" xfId="90" applyFont="1" applyFill="1" applyBorder="1" applyAlignment="1">
      <alignment horizontal="center"/>
      <protection/>
    </xf>
    <xf numFmtId="0" fontId="61" fillId="59" borderId="95" xfId="90" applyFont="1" applyFill="1" applyBorder="1" applyAlignment="1">
      <alignment horizontal="center"/>
      <protection/>
    </xf>
    <xf numFmtId="0" fontId="2" fillId="59" borderId="0" xfId="0" applyFont="1" applyFill="1" applyBorder="1" applyAlignment="1">
      <alignment/>
    </xf>
    <xf numFmtId="0" fontId="2" fillId="0" borderId="0" xfId="0" applyFont="1" applyAlignment="1" quotePrefix="1">
      <alignment/>
    </xf>
    <xf numFmtId="0" fontId="26" fillId="59" borderId="51" xfId="90" applyFont="1" applyFill="1" applyBorder="1" applyAlignment="1">
      <alignment horizontal="center"/>
      <protection/>
    </xf>
    <xf numFmtId="0" fontId="60" fillId="59" borderId="51" xfId="0" applyFont="1" applyFill="1" applyBorder="1" applyAlignment="1">
      <alignment horizontal="center"/>
    </xf>
    <xf numFmtId="0" fontId="61" fillId="59" borderId="35" xfId="90" applyFont="1" applyFill="1" applyBorder="1" applyAlignment="1">
      <alignment horizontal="center" wrapText="1"/>
      <protection/>
    </xf>
    <xf numFmtId="1" fontId="59" fillId="59" borderId="35" xfId="92" applyNumberFormat="1" applyFont="1" applyFill="1" applyBorder="1" applyAlignment="1" applyProtection="1">
      <alignment horizontal="center" vertical="center" wrapText="1"/>
      <protection locked="0"/>
    </xf>
    <xf numFmtId="0" fontId="27" fillId="0" borderId="87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left"/>
    </xf>
    <xf numFmtId="1" fontId="37" fillId="0" borderId="18" xfId="0" applyNumberFormat="1" applyFont="1" applyFill="1" applyBorder="1" applyAlignment="1">
      <alignment horizontal="center"/>
    </xf>
    <xf numFmtId="0" fontId="37" fillId="0" borderId="87" xfId="0" applyFont="1" applyFill="1" applyBorder="1" applyAlignment="1">
      <alignment horizontal="left"/>
    </xf>
    <xf numFmtId="1" fontId="37" fillId="0" borderId="87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" fontId="38" fillId="0" borderId="25" xfId="93" applyNumberFormat="1" applyFont="1" applyFill="1" applyBorder="1" applyAlignment="1" applyProtection="1">
      <alignment horizontal="left" vertical="center"/>
      <protection locked="0"/>
    </xf>
    <xf numFmtId="176" fontId="38" fillId="0" borderId="25" xfId="93" applyNumberFormat="1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>
      <alignment horizontal="left" vertical="center"/>
    </xf>
    <xf numFmtId="1" fontId="38" fillId="0" borderId="25" xfId="93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/>
    </xf>
    <xf numFmtId="1" fontId="38" fillId="0" borderId="0" xfId="93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>
      <alignment horizontal="left" vertical="center"/>
    </xf>
    <xf numFmtId="1" fontId="38" fillId="0" borderId="0" xfId="93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37" fillId="0" borderId="87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1" fontId="37" fillId="0" borderId="18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1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7" fillId="0" borderId="0" xfId="93" applyFont="1" applyFill="1" applyBorder="1" applyAlignment="1" applyProtection="1">
      <alignment horizontal="left" vertical="center"/>
      <protection locked="0"/>
    </xf>
    <xf numFmtId="1" fontId="37" fillId="0" borderId="0" xfId="93" applyNumberFormat="1" applyFont="1" applyFill="1" applyBorder="1" applyAlignment="1" applyProtection="1">
      <alignment horizontal="left" vertical="center"/>
      <protection locked="0"/>
    </xf>
    <xf numFmtId="1" fontId="37" fillId="0" borderId="0" xfId="93" applyNumberFormat="1" applyFont="1" applyFill="1" applyBorder="1" applyAlignment="1" applyProtection="1">
      <alignment horizontal="center" vertical="center"/>
      <protection locked="0"/>
    </xf>
    <xf numFmtId="1" fontId="38" fillId="0" borderId="87" xfId="93" applyNumberFormat="1" applyFont="1" applyFill="1" applyBorder="1" applyAlignment="1" applyProtection="1">
      <alignment horizontal="left" vertical="center"/>
      <protection locked="0"/>
    </xf>
    <xf numFmtId="1" fontId="38" fillId="0" borderId="87" xfId="93" applyNumberFormat="1" applyFont="1" applyFill="1" applyBorder="1" applyAlignment="1" applyProtection="1">
      <alignment horizontal="center" vertical="center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mma" xfId="66"/>
    <cellStyle name="Comma [0]" xfId="67"/>
    <cellStyle name="Cor1" xfId="68"/>
    <cellStyle name="Cor2" xfId="69"/>
    <cellStyle name="Cor3" xfId="70"/>
    <cellStyle name="Cor4" xfId="71"/>
    <cellStyle name="Cor5" xfId="72"/>
    <cellStyle name="Cor6" xfId="73"/>
    <cellStyle name="Correcto" xfId="74"/>
    <cellStyle name="Currency" xfId="75"/>
    <cellStyle name="Currency [0]" xfId="76"/>
    <cellStyle name="Entrada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correcto" xfId="85"/>
    <cellStyle name="Input" xfId="86"/>
    <cellStyle name="Linked Cell" xfId="87"/>
    <cellStyle name="Neutral" xfId="88"/>
    <cellStyle name="Neutro" xfId="89"/>
    <cellStyle name="Normal_EURIGEN-2008" xfId="90"/>
    <cellStyle name="Normal_Weather data" xfId="91"/>
    <cellStyle name="Normale" xfId="92"/>
    <cellStyle name="Normale 2" xfId="93"/>
    <cellStyle name="Nota" xfId="94"/>
    <cellStyle name="Note" xfId="95"/>
    <cellStyle name="Output" xfId="96"/>
    <cellStyle name="Percent" xfId="97"/>
    <cellStyle name="Saída" xfId="98"/>
    <cellStyle name="Texto de Aviso" xfId="99"/>
    <cellStyle name="Texto Explicativo" xfId="100"/>
    <cellStyle name="Title" xfId="101"/>
    <cellStyle name="Título" xfId="102"/>
    <cellStyle name="Total" xfId="103"/>
    <cellStyle name="Verificar Célula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paddy grain width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65"/>
          <c:w val="0.8365"/>
          <c:h val="0.8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'Lab descriptors of grain qualit'!$N$127:$N$168</c:f>
              <c:numCache/>
            </c:numRef>
          </c:xVal>
          <c:yVal>
            <c:numRef>
              <c:f>'Lab descriptors of grain qualit'!$O$127:$O$168</c:f>
              <c:numCache/>
            </c:numRef>
          </c:yVal>
          <c:smooth val="0"/>
        </c:ser>
        <c:axId val="31722006"/>
        <c:axId val="17062599"/>
      </c:scatterChart>
      <c:valAx>
        <c:axId val="31722006"/>
        <c:scaling>
          <c:orientation val="minMax"/>
          <c:max val="4"/>
          <c:min val="2.09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2599"/>
        <c:crosses val="autoZero"/>
        <c:crossBetween val="midCat"/>
        <c:dispUnits/>
      </c:valAx>
      <c:valAx>
        <c:axId val="1706259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220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8925"/>
          <c:w val="0.1132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Leaf blast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915"/>
          <c:w val="0.924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'Diseases (blast)'!$J$3:$J$12</c:f>
              <c:strCache/>
            </c:strRef>
          </c:cat>
          <c:val>
            <c:numRef>
              <c:f>'Diseases (blast)'!$K$3:$K$12</c:f>
              <c:numCache/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Panicle blast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915"/>
          <c:w val="0.923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'Diseases (blast)'!$M$3:$M$5</c:f>
              <c:numCache/>
            </c:numRef>
          </c:cat>
          <c:val>
            <c:numRef>
              <c:f>'Diseases (blast)'!$N$3:$N$5</c:f>
              <c:numCache/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Apiculus color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27175"/>
          <c:w val="0.3135"/>
          <c:h val="0.60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'Field grain descriptors'!$K$3:$K$4</c:f>
              <c:strCache/>
            </c:strRef>
          </c:cat>
          <c:val>
            <c:numRef>
              <c:f>'Field grain descriptors'!$L$3:$L$4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46425"/>
          <c:w val="0.1167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Lemma and palea pubescence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6775"/>
          <c:w val="0.924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'Field grain descriptors'!$M$3:$M$7</c:f>
              <c:strCache/>
            </c:strRef>
          </c:cat>
          <c:val>
            <c:numRef>
              <c:f>'Field grain descriptors'!$N$3:$N$7</c:f>
              <c:numCache/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0.07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6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Awning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9125"/>
          <c:w val="0.9452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'Field grain descriptors'!$Q$3:$Q$11</c:f>
              <c:strCache/>
            </c:strRef>
          </c:cat>
          <c:val>
            <c:numRef>
              <c:f>'Field grain descriptors'!$R$3:$R$11</c:f>
              <c:numCache/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0.06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Sterile lemma length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"/>
          <c:y val="0.26775"/>
          <c:w val="0.3195"/>
          <c:h val="0.61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'Field grain descriptors'!$O$3:$O$5</c:f>
              <c:strCache/>
            </c:strRef>
          </c:cat>
          <c:val>
            <c:numRef>
              <c:f>'Field grain descriptors'!$P$3:$P$5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3575"/>
          <c:w val="0.12625"/>
          <c:h val="0.26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Days to flowering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8"/>
          <c:w val="0.986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matrix'!$B$4:$B$123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matrix'!$E$4:$E$123</c:f>
              <c:numCache>
                <c:ptCount val="120"/>
                <c:pt idx="0">
                  <c:v>83</c:v>
                </c:pt>
                <c:pt idx="1">
                  <c:v>83</c:v>
                </c:pt>
                <c:pt idx="2">
                  <c:v>80</c:v>
                </c:pt>
                <c:pt idx="3">
                  <c:v>84</c:v>
                </c:pt>
                <c:pt idx="4">
                  <c:v>103</c:v>
                </c:pt>
                <c:pt idx="5">
                  <c:v>103</c:v>
                </c:pt>
                <c:pt idx="6">
                  <c:v>106</c:v>
                </c:pt>
                <c:pt idx="7">
                  <c:v>107</c:v>
                </c:pt>
                <c:pt idx="8">
                  <c:v>102</c:v>
                </c:pt>
                <c:pt idx="9">
                  <c:v>103</c:v>
                </c:pt>
                <c:pt idx="10">
                  <c:v>116</c:v>
                </c:pt>
                <c:pt idx="11">
                  <c:v>117</c:v>
                </c:pt>
                <c:pt idx="12">
                  <c:v>107</c:v>
                </c:pt>
                <c:pt idx="13">
                  <c:v>96</c:v>
                </c:pt>
                <c:pt idx="14">
                  <c:v>92</c:v>
                </c:pt>
                <c:pt idx="15">
                  <c:v>128</c:v>
                </c:pt>
                <c:pt idx="16">
                  <c:v>97</c:v>
                </c:pt>
                <c:pt idx="17">
                  <c:v>105</c:v>
                </c:pt>
                <c:pt idx="18">
                  <c:v>97</c:v>
                </c:pt>
                <c:pt idx="19">
                  <c:v>113</c:v>
                </c:pt>
                <c:pt idx="20">
                  <c:v>102</c:v>
                </c:pt>
                <c:pt idx="21">
                  <c:v>110</c:v>
                </c:pt>
                <c:pt idx="22">
                  <c:v>96</c:v>
                </c:pt>
                <c:pt idx="23">
                  <c:v>96</c:v>
                </c:pt>
                <c:pt idx="24">
                  <c:v>76</c:v>
                </c:pt>
                <c:pt idx="25">
                  <c:v>102</c:v>
                </c:pt>
                <c:pt idx="26">
                  <c:v>100</c:v>
                </c:pt>
                <c:pt idx="27">
                  <c:v>96</c:v>
                </c:pt>
                <c:pt idx="28">
                  <c:v>126</c:v>
                </c:pt>
                <c:pt idx="29">
                  <c:v>90</c:v>
                </c:pt>
                <c:pt idx="30">
                  <c:v>84</c:v>
                </c:pt>
                <c:pt idx="31">
                  <c:v>83</c:v>
                </c:pt>
                <c:pt idx="32">
                  <c:v>91</c:v>
                </c:pt>
                <c:pt idx="34">
                  <c:v>92</c:v>
                </c:pt>
                <c:pt idx="35">
                  <c:v>109</c:v>
                </c:pt>
                <c:pt idx="36">
                  <c:v>101</c:v>
                </c:pt>
                <c:pt idx="37">
                  <c:v>92</c:v>
                </c:pt>
                <c:pt idx="38">
                  <c:v>91</c:v>
                </c:pt>
                <c:pt idx="40">
                  <c:v>85</c:v>
                </c:pt>
                <c:pt idx="41">
                  <c:v>100</c:v>
                </c:pt>
                <c:pt idx="42">
                  <c:v>84</c:v>
                </c:pt>
                <c:pt idx="43">
                  <c:v>92</c:v>
                </c:pt>
                <c:pt idx="44">
                  <c:v>91</c:v>
                </c:pt>
                <c:pt idx="45">
                  <c:v>91</c:v>
                </c:pt>
                <c:pt idx="46">
                  <c:v>102</c:v>
                </c:pt>
                <c:pt idx="47">
                  <c:v>86</c:v>
                </c:pt>
                <c:pt idx="48">
                  <c:v>83</c:v>
                </c:pt>
                <c:pt idx="49">
                  <c:v>92</c:v>
                </c:pt>
                <c:pt idx="50">
                  <c:v>91</c:v>
                </c:pt>
                <c:pt idx="51">
                  <c:v>96</c:v>
                </c:pt>
                <c:pt idx="52">
                  <c:v>86</c:v>
                </c:pt>
                <c:pt idx="53">
                  <c:v>95</c:v>
                </c:pt>
                <c:pt idx="54">
                  <c:v>95</c:v>
                </c:pt>
                <c:pt idx="55">
                  <c:v>107</c:v>
                </c:pt>
                <c:pt idx="56">
                  <c:v>94</c:v>
                </c:pt>
                <c:pt idx="57">
                  <c:v>91</c:v>
                </c:pt>
                <c:pt idx="58">
                  <c:v>90</c:v>
                </c:pt>
                <c:pt idx="59">
                  <c:v>102</c:v>
                </c:pt>
                <c:pt idx="60">
                  <c:v>90</c:v>
                </c:pt>
                <c:pt idx="61">
                  <c:v>102</c:v>
                </c:pt>
                <c:pt idx="62">
                  <c:v>103</c:v>
                </c:pt>
                <c:pt idx="63">
                  <c:v>100</c:v>
                </c:pt>
                <c:pt idx="64">
                  <c:v>93</c:v>
                </c:pt>
                <c:pt idx="65">
                  <c:v>93</c:v>
                </c:pt>
                <c:pt idx="66">
                  <c:v>90</c:v>
                </c:pt>
                <c:pt idx="67">
                  <c:v>86</c:v>
                </c:pt>
                <c:pt idx="68">
                  <c:v>94</c:v>
                </c:pt>
                <c:pt idx="69">
                  <c:v>91</c:v>
                </c:pt>
                <c:pt idx="70">
                  <c:v>91</c:v>
                </c:pt>
                <c:pt idx="71">
                  <c:v>94</c:v>
                </c:pt>
                <c:pt idx="72">
                  <c:v>90</c:v>
                </c:pt>
                <c:pt idx="73">
                  <c:v>90</c:v>
                </c:pt>
                <c:pt idx="74">
                  <c:v>87</c:v>
                </c:pt>
                <c:pt idx="75">
                  <c:v>100</c:v>
                </c:pt>
                <c:pt idx="76">
                  <c:v>96</c:v>
                </c:pt>
                <c:pt idx="77">
                  <c:v>87</c:v>
                </c:pt>
                <c:pt idx="78">
                  <c:v>92</c:v>
                </c:pt>
                <c:pt idx="79">
                  <c:v>89</c:v>
                </c:pt>
                <c:pt idx="80">
                  <c:v>90</c:v>
                </c:pt>
                <c:pt idx="81">
                  <c:v>83</c:v>
                </c:pt>
                <c:pt idx="82">
                  <c:v>96</c:v>
                </c:pt>
                <c:pt idx="83">
                  <c:v>91</c:v>
                </c:pt>
                <c:pt idx="84">
                  <c:v>91</c:v>
                </c:pt>
                <c:pt idx="85">
                  <c:v>86</c:v>
                </c:pt>
                <c:pt idx="86">
                  <c:v>97</c:v>
                </c:pt>
                <c:pt idx="87">
                  <c:v>92</c:v>
                </c:pt>
                <c:pt idx="88">
                  <c:v>89</c:v>
                </c:pt>
                <c:pt idx="89">
                  <c:v>89</c:v>
                </c:pt>
                <c:pt idx="90">
                  <c:v>95</c:v>
                </c:pt>
                <c:pt idx="91">
                  <c:v>91</c:v>
                </c:pt>
                <c:pt idx="92">
                  <c:v>94</c:v>
                </c:pt>
                <c:pt idx="93">
                  <c:v>107</c:v>
                </c:pt>
                <c:pt idx="94">
                  <c:v>90</c:v>
                </c:pt>
                <c:pt idx="95">
                  <c:v>87</c:v>
                </c:pt>
                <c:pt idx="96">
                  <c:v>85</c:v>
                </c:pt>
                <c:pt idx="97">
                  <c:v>93</c:v>
                </c:pt>
                <c:pt idx="98">
                  <c:v>101</c:v>
                </c:pt>
                <c:pt idx="99">
                  <c:v>97</c:v>
                </c:pt>
                <c:pt idx="100">
                  <c:v>87</c:v>
                </c:pt>
                <c:pt idx="101">
                  <c:v>85</c:v>
                </c:pt>
                <c:pt idx="102">
                  <c:v>85</c:v>
                </c:pt>
                <c:pt idx="103">
                  <c:v>87</c:v>
                </c:pt>
                <c:pt idx="104">
                  <c:v>85</c:v>
                </c:pt>
                <c:pt idx="105">
                  <c:v>89</c:v>
                </c:pt>
                <c:pt idx="106">
                  <c:v>83</c:v>
                </c:pt>
                <c:pt idx="107">
                  <c:v>90</c:v>
                </c:pt>
                <c:pt idx="108">
                  <c:v>89</c:v>
                </c:pt>
                <c:pt idx="109">
                  <c:v>87</c:v>
                </c:pt>
                <c:pt idx="110">
                  <c:v>94</c:v>
                </c:pt>
                <c:pt idx="111">
                  <c:v>92</c:v>
                </c:pt>
                <c:pt idx="112">
                  <c:v>92</c:v>
                </c:pt>
                <c:pt idx="113">
                  <c:v>98</c:v>
                </c:pt>
                <c:pt idx="114">
                  <c:v>108</c:v>
                </c:pt>
                <c:pt idx="115">
                  <c:v>108</c:v>
                </c:pt>
                <c:pt idx="116">
                  <c:v>102</c:v>
                </c:pt>
                <c:pt idx="117">
                  <c:v>104</c:v>
                </c:pt>
                <c:pt idx="118">
                  <c:v>95</c:v>
                </c:pt>
                <c:pt idx="119">
                  <c:v>97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1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Days to maturity</a:t>
            </a:r>
          </a:p>
        </c:rich>
      </c:tx>
      <c:layout>
        <c:manualLayout>
          <c:xMode val="factor"/>
          <c:yMode val="factor"/>
          <c:x val="0.001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75"/>
          <c:w val="0.986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v>Days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matrix'!$AK$4:$AK$123</c:f>
              <c:strCache>
                <c:ptCount val="119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</c:strCache>
            </c:strRef>
          </c:cat>
          <c:val>
            <c:numRef>
              <c:f>'Data matrix'!$F$4:$F$122</c:f>
              <c:numCache>
                <c:ptCount val="119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138</c:v>
                </c:pt>
                <c:pt idx="5">
                  <c:v>138</c:v>
                </c:pt>
                <c:pt idx="6">
                  <c:v>149</c:v>
                </c:pt>
                <c:pt idx="7">
                  <c:v>149</c:v>
                </c:pt>
                <c:pt idx="8">
                  <c:v>146</c:v>
                </c:pt>
                <c:pt idx="9">
                  <c:v>149</c:v>
                </c:pt>
                <c:pt idx="11">
                  <c:v>152</c:v>
                </c:pt>
                <c:pt idx="12">
                  <c:v>138</c:v>
                </c:pt>
                <c:pt idx="13">
                  <c:v>139</c:v>
                </c:pt>
                <c:pt idx="14">
                  <c:v>137</c:v>
                </c:pt>
                <c:pt idx="16">
                  <c:v>137</c:v>
                </c:pt>
                <c:pt idx="17">
                  <c:v>127</c:v>
                </c:pt>
                <c:pt idx="18">
                  <c:v>140</c:v>
                </c:pt>
                <c:pt idx="19">
                  <c:v>139</c:v>
                </c:pt>
                <c:pt idx="20">
                  <c:v>140</c:v>
                </c:pt>
                <c:pt idx="22">
                  <c:v>132</c:v>
                </c:pt>
                <c:pt idx="23">
                  <c:v>137</c:v>
                </c:pt>
                <c:pt idx="24">
                  <c:v>123</c:v>
                </c:pt>
                <c:pt idx="25">
                  <c:v>149</c:v>
                </c:pt>
                <c:pt idx="26">
                  <c:v>146</c:v>
                </c:pt>
                <c:pt idx="27">
                  <c:v>152</c:v>
                </c:pt>
                <c:pt idx="29">
                  <c:v>127</c:v>
                </c:pt>
                <c:pt idx="30">
                  <c:v>121</c:v>
                </c:pt>
                <c:pt idx="31">
                  <c:v>121</c:v>
                </c:pt>
                <c:pt idx="32">
                  <c:v>121</c:v>
                </c:pt>
                <c:pt idx="34">
                  <c:v>141</c:v>
                </c:pt>
                <c:pt idx="35">
                  <c:v>147</c:v>
                </c:pt>
                <c:pt idx="36">
                  <c:v>137</c:v>
                </c:pt>
                <c:pt idx="37">
                  <c:v>123</c:v>
                </c:pt>
                <c:pt idx="38">
                  <c:v>123</c:v>
                </c:pt>
                <c:pt idx="40">
                  <c:v>121</c:v>
                </c:pt>
                <c:pt idx="41">
                  <c:v>150</c:v>
                </c:pt>
                <c:pt idx="42">
                  <c:v>121</c:v>
                </c:pt>
                <c:pt idx="43">
                  <c:v>123</c:v>
                </c:pt>
                <c:pt idx="44">
                  <c:v>123</c:v>
                </c:pt>
                <c:pt idx="45">
                  <c:v>121</c:v>
                </c:pt>
                <c:pt idx="46">
                  <c:v>150</c:v>
                </c:pt>
                <c:pt idx="47">
                  <c:v>121</c:v>
                </c:pt>
                <c:pt idx="48">
                  <c:v>119</c:v>
                </c:pt>
                <c:pt idx="49">
                  <c:v>129</c:v>
                </c:pt>
                <c:pt idx="50">
                  <c:v>147</c:v>
                </c:pt>
                <c:pt idx="51">
                  <c:v>121</c:v>
                </c:pt>
                <c:pt idx="52">
                  <c:v>121</c:v>
                </c:pt>
                <c:pt idx="53">
                  <c:v>157</c:v>
                </c:pt>
                <c:pt idx="54">
                  <c:v>138</c:v>
                </c:pt>
                <c:pt idx="55">
                  <c:v>155</c:v>
                </c:pt>
                <c:pt idx="56">
                  <c:v>150</c:v>
                </c:pt>
                <c:pt idx="57">
                  <c:v>150</c:v>
                </c:pt>
                <c:pt idx="58">
                  <c:v>150</c:v>
                </c:pt>
                <c:pt idx="59">
                  <c:v>153</c:v>
                </c:pt>
                <c:pt idx="60">
                  <c:v>144</c:v>
                </c:pt>
                <c:pt idx="61">
                  <c:v>151</c:v>
                </c:pt>
                <c:pt idx="62">
                  <c:v>153</c:v>
                </c:pt>
                <c:pt idx="63">
                  <c:v>144</c:v>
                </c:pt>
                <c:pt idx="64">
                  <c:v>144</c:v>
                </c:pt>
                <c:pt idx="65">
                  <c:v>144</c:v>
                </c:pt>
                <c:pt idx="66">
                  <c:v>123</c:v>
                </c:pt>
                <c:pt idx="67">
                  <c:v>121</c:v>
                </c:pt>
                <c:pt idx="68">
                  <c:v>142</c:v>
                </c:pt>
                <c:pt idx="69">
                  <c:v>142</c:v>
                </c:pt>
                <c:pt idx="70">
                  <c:v>149</c:v>
                </c:pt>
                <c:pt idx="71">
                  <c:v>143</c:v>
                </c:pt>
                <c:pt idx="72">
                  <c:v>141</c:v>
                </c:pt>
                <c:pt idx="73">
                  <c:v>127</c:v>
                </c:pt>
                <c:pt idx="74">
                  <c:v>123</c:v>
                </c:pt>
                <c:pt idx="75">
                  <c:v>150</c:v>
                </c:pt>
                <c:pt idx="76">
                  <c:v>144</c:v>
                </c:pt>
                <c:pt idx="77">
                  <c:v>120</c:v>
                </c:pt>
                <c:pt idx="78">
                  <c:v>127</c:v>
                </c:pt>
                <c:pt idx="79">
                  <c:v>141</c:v>
                </c:pt>
                <c:pt idx="80">
                  <c:v>123</c:v>
                </c:pt>
                <c:pt idx="81">
                  <c:v>121</c:v>
                </c:pt>
                <c:pt idx="83">
                  <c:v>127</c:v>
                </c:pt>
                <c:pt idx="84">
                  <c:v>141</c:v>
                </c:pt>
                <c:pt idx="85">
                  <c:v>121</c:v>
                </c:pt>
                <c:pt idx="86">
                  <c:v>157</c:v>
                </c:pt>
                <c:pt idx="87">
                  <c:v>150</c:v>
                </c:pt>
                <c:pt idx="88">
                  <c:v>121</c:v>
                </c:pt>
                <c:pt idx="89">
                  <c:v>121</c:v>
                </c:pt>
                <c:pt idx="90">
                  <c:v>143</c:v>
                </c:pt>
                <c:pt idx="91">
                  <c:v>127</c:v>
                </c:pt>
                <c:pt idx="92">
                  <c:v>133</c:v>
                </c:pt>
                <c:pt idx="93">
                  <c:v>155</c:v>
                </c:pt>
                <c:pt idx="94">
                  <c:v>123</c:v>
                </c:pt>
                <c:pt idx="95">
                  <c:v>121</c:v>
                </c:pt>
                <c:pt idx="96">
                  <c:v>121</c:v>
                </c:pt>
                <c:pt idx="97">
                  <c:v>150</c:v>
                </c:pt>
                <c:pt idx="98">
                  <c:v>156</c:v>
                </c:pt>
                <c:pt idx="99">
                  <c:v>156</c:v>
                </c:pt>
                <c:pt idx="100">
                  <c:v>121</c:v>
                </c:pt>
                <c:pt idx="101">
                  <c:v>127</c:v>
                </c:pt>
                <c:pt idx="102">
                  <c:v>133</c:v>
                </c:pt>
                <c:pt idx="103">
                  <c:v>133</c:v>
                </c:pt>
                <c:pt idx="104">
                  <c:v>141</c:v>
                </c:pt>
                <c:pt idx="105">
                  <c:v>141</c:v>
                </c:pt>
                <c:pt idx="106">
                  <c:v>139</c:v>
                </c:pt>
                <c:pt idx="107">
                  <c:v>139</c:v>
                </c:pt>
                <c:pt idx="108">
                  <c:v>143</c:v>
                </c:pt>
                <c:pt idx="109">
                  <c:v>143</c:v>
                </c:pt>
                <c:pt idx="110">
                  <c:v>144</c:v>
                </c:pt>
                <c:pt idx="111">
                  <c:v>142</c:v>
                </c:pt>
                <c:pt idx="112">
                  <c:v>152</c:v>
                </c:pt>
                <c:pt idx="113">
                  <c:v>156</c:v>
                </c:pt>
                <c:pt idx="114">
                  <c:v>155</c:v>
                </c:pt>
                <c:pt idx="115">
                  <c:v>156</c:v>
                </c:pt>
                <c:pt idx="116">
                  <c:v>157</c:v>
                </c:pt>
                <c:pt idx="118">
                  <c:v>151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3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Plant height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"/>
          <c:w val="0.98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Height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matrix'!$AK$4:$AK$123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matrix'!$G$4:$G$123</c:f>
              <c:numCache>
                <c:ptCount val="120"/>
                <c:pt idx="0">
                  <c:v>95</c:v>
                </c:pt>
                <c:pt idx="1">
                  <c:v>85</c:v>
                </c:pt>
                <c:pt idx="2">
                  <c:v>80</c:v>
                </c:pt>
                <c:pt idx="3">
                  <c:v>83</c:v>
                </c:pt>
                <c:pt idx="4">
                  <c:v>55</c:v>
                </c:pt>
                <c:pt idx="5">
                  <c:v>56</c:v>
                </c:pt>
                <c:pt idx="6">
                  <c:v>70</c:v>
                </c:pt>
                <c:pt idx="7">
                  <c:v>100</c:v>
                </c:pt>
                <c:pt idx="8">
                  <c:v>80</c:v>
                </c:pt>
                <c:pt idx="9">
                  <c:v>45</c:v>
                </c:pt>
                <c:pt idx="10">
                  <c:v>75</c:v>
                </c:pt>
                <c:pt idx="11">
                  <c:v>75</c:v>
                </c:pt>
                <c:pt idx="12">
                  <c:v>88</c:v>
                </c:pt>
                <c:pt idx="13">
                  <c:v>98</c:v>
                </c:pt>
                <c:pt idx="14">
                  <c:v>85</c:v>
                </c:pt>
                <c:pt idx="15">
                  <c:v>75</c:v>
                </c:pt>
                <c:pt idx="16">
                  <c:v>61</c:v>
                </c:pt>
                <c:pt idx="17">
                  <c:v>90</c:v>
                </c:pt>
                <c:pt idx="18">
                  <c:v>80</c:v>
                </c:pt>
                <c:pt idx="19">
                  <c:v>100</c:v>
                </c:pt>
                <c:pt idx="20">
                  <c:v>75</c:v>
                </c:pt>
                <c:pt idx="21">
                  <c:v>107</c:v>
                </c:pt>
                <c:pt idx="22">
                  <c:v>70</c:v>
                </c:pt>
                <c:pt idx="23">
                  <c:v>74</c:v>
                </c:pt>
                <c:pt idx="24">
                  <c:v>67</c:v>
                </c:pt>
                <c:pt idx="25">
                  <c:v>85</c:v>
                </c:pt>
                <c:pt idx="26">
                  <c:v>100</c:v>
                </c:pt>
                <c:pt idx="27">
                  <c:v>80</c:v>
                </c:pt>
                <c:pt idx="28">
                  <c:v>70</c:v>
                </c:pt>
                <c:pt idx="29">
                  <c:v>80</c:v>
                </c:pt>
                <c:pt idx="30">
                  <c:v>64</c:v>
                </c:pt>
                <c:pt idx="31">
                  <c:v>65</c:v>
                </c:pt>
                <c:pt idx="32">
                  <c:v>95</c:v>
                </c:pt>
                <c:pt idx="33">
                  <c:v>70</c:v>
                </c:pt>
                <c:pt idx="34">
                  <c:v>75</c:v>
                </c:pt>
                <c:pt idx="35">
                  <c:v>70</c:v>
                </c:pt>
                <c:pt idx="36">
                  <c:v>70</c:v>
                </c:pt>
                <c:pt idx="37">
                  <c:v>71</c:v>
                </c:pt>
                <c:pt idx="38">
                  <c:v>95</c:v>
                </c:pt>
                <c:pt idx="39">
                  <c:v>44</c:v>
                </c:pt>
                <c:pt idx="40">
                  <c:v>65</c:v>
                </c:pt>
                <c:pt idx="41">
                  <c:v>88</c:v>
                </c:pt>
                <c:pt idx="42">
                  <c:v>68</c:v>
                </c:pt>
                <c:pt idx="43">
                  <c:v>75</c:v>
                </c:pt>
                <c:pt idx="44">
                  <c:v>44</c:v>
                </c:pt>
                <c:pt idx="45">
                  <c:v>46</c:v>
                </c:pt>
                <c:pt idx="46">
                  <c:v>65</c:v>
                </c:pt>
                <c:pt idx="47">
                  <c:v>77</c:v>
                </c:pt>
                <c:pt idx="48">
                  <c:v>70</c:v>
                </c:pt>
                <c:pt idx="49">
                  <c:v>100</c:v>
                </c:pt>
                <c:pt idx="50">
                  <c:v>90</c:v>
                </c:pt>
                <c:pt idx="51">
                  <c:v>60</c:v>
                </c:pt>
                <c:pt idx="52">
                  <c:v>97</c:v>
                </c:pt>
                <c:pt idx="53">
                  <c:v>45</c:v>
                </c:pt>
                <c:pt idx="54">
                  <c:v>68</c:v>
                </c:pt>
                <c:pt idx="55">
                  <c:v>60</c:v>
                </c:pt>
                <c:pt idx="56">
                  <c:v>80</c:v>
                </c:pt>
                <c:pt idx="57">
                  <c:v>70</c:v>
                </c:pt>
                <c:pt idx="58">
                  <c:v>88</c:v>
                </c:pt>
                <c:pt idx="59">
                  <c:v>60</c:v>
                </c:pt>
                <c:pt idx="60">
                  <c:v>70</c:v>
                </c:pt>
                <c:pt idx="61">
                  <c:v>60</c:v>
                </c:pt>
                <c:pt idx="62">
                  <c:v>55</c:v>
                </c:pt>
                <c:pt idx="63">
                  <c:v>50</c:v>
                </c:pt>
                <c:pt idx="64">
                  <c:v>51</c:v>
                </c:pt>
                <c:pt idx="65">
                  <c:v>77</c:v>
                </c:pt>
                <c:pt idx="66">
                  <c:v>65</c:v>
                </c:pt>
                <c:pt idx="67">
                  <c:v>55</c:v>
                </c:pt>
                <c:pt idx="68">
                  <c:v>60</c:v>
                </c:pt>
                <c:pt idx="69">
                  <c:v>50</c:v>
                </c:pt>
                <c:pt idx="70">
                  <c:v>60</c:v>
                </c:pt>
                <c:pt idx="71">
                  <c:v>77</c:v>
                </c:pt>
                <c:pt idx="72">
                  <c:v>105</c:v>
                </c:pt>
                <c:pt idx="73">
                  <c:v>60</c:v>
                </c:pt>
                <c:pt idx="74">
                  <c:v>60</c:v>
                </c:pt>
                <c:pt idx="75">
                  <c:v>50</c:v>
                </c:pt>
                <c:pt idx="76">
                  <c:v>70</c:v>
                </c:pt>
                <c:pt idx="77">
                  <c:v>66</c:v>
                </c:pt>
                <c:pt idx="78">
                  <c:v>61</c:v>
                </c:pt>
                <c:pt idx="79">
                  <c:v>73</c:v>
                </c:pt>
                <c:pt idx="80">
                  <c:v>71</c:v>
                </c:pt>
                <c:pt idx="81">
                  <c:v>80</c:v>
                </c:pt>
                <c:pt idx="82">
                  <c:v>79</c:v>
                </c:pt>
                <c:pt idx="83">
                  <c:v>60</c:v>
                </c:pt>
                <c:pt idx="84">
                  <c:v>65</c:v>
                </c:pt>
                <c:pt idx="85">
                  <c:v>70</c:v>
                </c:pt>
                <c:pt idx="86">
                  <c:v>92</c:v>
                </c:pt>
                <c:pt idx="87">
                  <c:v>50</c:v>
                </c:pt>
                <c:pt idx="88">
                  <c:v>78</c:v>
                </c:pt>
                <c:pt idx="89">
                  <c:v>80</c:v>
                </c:pt>
                <c:pt idx="90">
                  <c:v>50</c:v>
                </c:pt>
                <c:pt idx="91">
                  <c:v>80</c:v>
                </c:pt>
                <c:pt idx="92">
                  <c:v>61</c:v>
                </c:pt>
                <c:pt idx="93">
                  <c:v>55</c:v>
                </c:pt>
                <c:pt idx="94">
                  <c:v>85</c:v>
                </c:pt>
                <c:pt idx="95">
                  <c:v>72</c:v>
                </c:pt>
                <c:pt idx="96">
                  <c:v>63</c:v>
                </c:pt>
                <c:pt idx="97">
                  <c:v>80</c:v>
                </c:pt>
                <c:pt idx="98">
                  <c:v>74</c:v>
                </c:pt>
                <c:pt idx="99">
                  <c:v>63</c:v>
                </c:pt>
                <c:pt idx="100">
                  <c:v>65</c:v>
                </c:pt>
                <c:pt idx="101">
                  <c:v>57</c:v>
                </c:pt>
                <c:pt idx="102">
                  <c:v>60</c:v>
                </c:pt>
                <c:pt idx="103">
                  <c:v>60</c:v>
                </c:pt>
                <c:pt idx="104">
                  <c:v>56</c:v>
                </c:pt>
                <c:pt idx="105">
                  <c:v>70</c:v>
                </c:pt>
                <c:pt idx="106">
                  <c:v>74</c:v>
                </c:pt>
                <c:pt idx="107">
                  <c:v>60</c:v>
                </c:pt>
                <c:pt idx="108">
                  <c:v>67</c:v>
                </c:pt>
                <c:pt idx="109">
                  <c:v>80</c:v>
                </c:pt>
                <c:pt idx="110">
                  <c:v>76</c:v>
                </c:pt>
                <c:pt idx="111">
                  <c:v>60</c:v>
                </c:pt>
                <c:pt idx="112">
                  <c:v>95</c:v>
                </c:pt>
                <c:pt idx="113">
                  <c:v>90</c:v>
                </c:pt>
                <c:pt idx="114">
                  <c:v>68</c:v>
                </c:pt>
                <c:pt idx="115">
                  <c:v>66</c:v>
                </c:pt>
                <c:pt idx="116">
                  <c:v>60</c:v>
                </c:pt>
                <c:pt idx="117">
                  <c:v>50</c:v>
                </c:pt>
                <c:pt idx="118">
                  <c:v>93</c:v>
                </c:pt>
                <c:pt idx="119">
                  <c:v>88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Days to flowering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68"/>
          <c:w val="0.941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Agronomic traits'!$F$2:$F$13</c:f>
              <c:strCache/>
            </c:strRef>
          </c:cat>
          <c:val>
            <c:numRef>
              <c:f>'Graphs Agronomic traits'!$G$2:$G$13</c:f>
              <c:numCache/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auto val="1"/>
        <c:lblOffset val="100"/>
        <c:tickLblSkip val="1"/>
        <c:noMultiLvlLbl val="0"/>
      </c:catAx>
      <c:valAx>
        <c:axId val="52226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paddy grain lenght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7"/>
          <c:w val="0.8365"/>
          <c:h val="0.8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'Lab descriptors of grain qualit'!$D$127:$D$202</c:f>
              <c:numCache/>
            </c:numRef>
          </c:xVal>
          <c:yVal>
            <c:numRef>
              <c:f>'Lab descriptors of grain qualit'!$E$127:$E$202</c:f>
              <c:numCache/>
            </c:numRef>
          </c:yVal>
          <c:smooth val="0"/>
        </c:ser>
        <c:axId val="19345664"/>
        <c:axId val="39893249"/>
      </c:scatterChart>
      <c:valAx>
        <c:axId val="19345664"/>
        <c:scaling>
          <c:orientation val="minMax"/>
          <c:max val="13"/>
          <c:min val="5.5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93249"/>
        <c:crosses val="autoZero"/>
        <c:crossBetween val="midCat"/>
        <c:dispUnits/>
      </c:val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45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492"/>
          <c:w val="0.1132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Days to maturity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75"/>
          <c:w val="0.9337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Agronomic traits'!$I$2:$I$11</c:f>
              <c:strCache/>
            </c:strRef>
          </c:cat>
          <c:val>
            <c:numRef>
              <c:f>'Graphs Agronomic traits'!$J$2:$J$11</c:f>
              <c:numCache/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 val="autoZero"/>
        <c:auto val="1"/>
        <c:lblOffset val="100"/>
        <c:tickLblSkip val="1"/>
        <c:noMultiLvlLbl val="0"/>
      </c:catAx>
      <c:valAx>
        <c:axId val="252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Days to flowering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75"/>
          <c:y val="0.2345"/>
          <c:w val="0.3025"/>
          <c:h val="0.66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Agronomic traits'!$F$2:$F$13</c:f>
              <c:strCache/>
            </c:strRef>
          </c:cat>
          <c:val>
            <c:numRef>
              <c:f>'Graphs Agronomic traits'!$G$2:$G$13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5975"/>
          <c:w val="0.115"/>
          <c:h val="0.76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Days to maturity</a:t>
            </a:r>
          </a:p>
        </c:rich>
      </c:tx>
      <c:layout>
        <c:manualLayout>
          <c:xMode val="factor"/>
          <c:yMode val="factor"/>
          <c:x val="-0.003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315"/>
          <c:w val="0.348"/>
          <c:h val="0.66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Agronomic traits'!$I$2:$I$10</c:f>
              <c:strCache/>
            </c:strRef>
          </c:cat>
          <c:val>
            <c:numRef>
              <c:f>'Graphs Agronomic traits'!$J$2:$J$10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25"/>
          <c:y val="0.21075"/>
          <c:w val="0.13175"/>
          <c:h val="0.6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Lodging resistance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"/>
          <c:y val="0.1945"/>
          <c:w val="0.38825"/>
          <c:h val="0.74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Agronomic traits'!$N$5:$N$8</c:f>
              <c:strCache/>
            </c:strRef>
          </c:cat>
          <c:val>
            <c:numRef>
              <c:f>'Graphs Agronomic traits'!$O$5:$O$8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25"/>
          <c:y val="0.4035"/>
          <c:w val="0.19075"/>
          <c:h val="0.33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Panicle exsertion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845"/>
          <c:w val="0.39"/>
          <c:h val="0.75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Agronomic traits'!$Q$2:$Q$10</c:f>
              <c:strCache/>
            </c:strRef>
          </c:cat>
          <c:val>
            <c:numRef>
              <c:f>'Graphs Agronomic traits'!$R$2:$R$10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13925"/>
          <c:w val="0.30175"/>
          <c:h val="0.85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Shattering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5"/>
          <c:y val="0.1945"/>
          <c:w val="0.3885"/>
          <c:h val="0.74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Agronomic traits'!$T$2:$T$7</c:f>
              <c:strCache/>
            </c:strRef>
          </c:cat>
          <c:val>
            <c:numRef>
              <c:f>'Graphs Agronomic traits'!$U$2:$U$7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31175"/>
          <c:w val="0.179"/>
          <c:h val="0.50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Lodging resistance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8925"/>
          <c:w val="0.924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Agronomic traits'!$N$5:$N$8</c:f>
              <c:strCache/>
            </c:strRef>
          </c:cat>
          <c:val>
            <c:numRef>
              <c:f>'Graphs Agronomic traits'!$O$5:$O$8</c:f>
              <c:numCache/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 val="autoZero"/>
        <c:auto val="1"/>
        <c:lblOffset val="100"/>
        <c:tickLblSkip val="1"/>
        <c:noMultiLvlLbl val="0"/>
      </c:catAx>
      <c:valAx>
        <c:axId val="2825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freuqency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83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Panicle exsertion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875"/>
          <c:w val="0.924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Agronomic traits'!$Q$2:$Q$10</c:f>
              <c:strCache/>
            </c:strRef>
          </c:cat>
          <c:val>
            <c:numRef>
              <c:f>'Graphs Agronomic traits'!$R$2:$R$10</c:f>
              <c:numCache/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0.0045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0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Shattering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905"/>
          <c:w val="0.925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Agronomic traits'!$T$2:$T$7</c:f>
              <c:strCache/>
            </c:strRef>
          </c:cat>
          <c:val>
            <c:numRef>
              <c:f>'Graphs Agronomic traits'!$U$2:$U$7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0.05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Leaf angle</a:t>
            </a:r>
          </a:p>
        </c:rich>
      </c:tx>
      <c:layout>
        <c:manualLayout>
          <c:xMode val="factor"/>
          <c:yMode val="factor"/>
          <c:x val="-0.18575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25"/>
          <c:y val="0.268"/>
          <c:w val="0.31675"/>
          <c:h val="0.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Field plant descriptors'!$B$2:$B$6</c:f>
              <c:strCache/>
            </c:strRef>
          </c:cat>
          <c:val>
            <c:numRef>
              <c:f>'Graphs Field plant descriptors'!$C$2:$C$6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3405"/>
          <c:w val="0.2285"/>
          <c:h val="0.45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thousand grain weight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065"/>
          <c:w val="0.91725"/>
          <c:h val="0.82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'Lab descriptors of grain qualit'!$BM$127:$BM$158</c:f>
              <c:numCache/>
            </c:numRef>
          </c:xVal>
          <c:yVal>
            <c:numRef>
              <c:f>'Lab descriptors of grain qualit'!$BN$127:$BN$158</c:f>
              <c:numCache/>
            </c:numRef>
          </c:yVal>
          <c:smooth val="1"/>
        </c:ser>
        <c:axId val="23494922"/>
        <c:axId val="10127707"/>
      </c:scatterChart>
      <c:valAx>
        <c:axId val="23494922"/>
        <c:scaling>
          <c:orientation val="minMax"/>
          <c:max val="43"/>
          <c:min val="11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27707"/>
        <c:crosses val="autoZero"/>
        <c:crossBetween val="midCat"/>
        <c:dispUnits/>
      </c:val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4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75"/>
          <c:y val="0.51675"/>
          <c:w val="0.04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Flag leaf angle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6525"/>
          <c:w val="0.31625"/>
          <c:h val="0.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Field plant descriptors'!$E$2:$E$8</c:f>
              <c:strCache/>
            </c:strRef>
          </c:cat>
          <c:val>
            <c:numRef>
              <c:f>'Graphs Field plant descriptors'!$F$2:$F$8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2545"/>
          <c:w val="0.28325"/>
          <c:h val="0.64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Panicle type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6925"/>
          <c:w val="0.315"/>
          <c:h val="0.6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Field plant descriptors'!$G$2:$G$6</c:f>
              <c:strCache/>
            </c:strRef>
          </c:cat>
          <c:val>
            <c:numRef>
              <c:f>'Graphs Field plant descriptors'!$H$2:$H$6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75"/>
          <c:y val="0.344"/>
          <c:w val="0.26625"/>
          <c:h val="0.455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Culm diameter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5"/>
          <c:y val="0.27"/>
          <c:w val="0.3235"/>
          <c:h val="0.61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Field plant descriptors'!$J$2:$J$6</c:f>
              <c:strCache/>
            </c:strRef>
          </c:cat>
          <c:val>
            <c:numRef>
              <c:f>'Graphs Field plant descriptors'!$K$2:$K$6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75"/>
          <c:y val="0.34775"/>
          <c:w val="0.18825"/>
          <c:h val="0.45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Panicle lenght</a:t>
            </a:r>
          </a:p>
        </c:rich>
      </c:tx>
      <c:layout>
        <c:manualLayout>
          <c:xMode val="factor"/>
          <c:yMode val="factor"/>
          <c:x val="-0.000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5"/>
          <c:w val="0.984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'Data matrix'!$Q$4:$Q$123</c:f>
                <c:numCache>
                  <c:ptCount val="120"/>
                  <c:pt idx="0">
                    <c:v>1.5892346166210531</c:v>
                  </c:pt>
                  <c:pt idx="1">
                    <c:v>1.2828354012369392</c:v>
                  </c:pt>
                  <c:pt idx="2">
                    <c:v>1.9473058311421072</c:v>
                  </c:pt>
                  <c:pt idx="3">
                    <c:v>1.4881756168768183</c:v>
                  </c:pt>
                  <c:pt idx="4">
                    <c:v>0.3535533905932738</c:v>
                  </c:pt>
                  <c:pt idx="5">
                    <c:v>0</c:v>
                  </c:pt>
                  <c:pt idx="6">
                    <c:v>2.3721298446754693</c:v>
                  </c:pt>
                  <c:pt idx="7">
                    <c:v>0.9359487165438675</c:v>
                  </c:pt>
                  <c:pt idx="8">
                    <c:v>1.6240894885032633</c:v>
                  </c:pt>
                  <c:pt idx="9">
                    <c:v>1.2220201853216064</c:v>
                  </c:pt>
                  <c:pt idx="10">
                    <c:v>0.7089898917943565</c:v>
                  </c:pt>
                  <c:pt idx="11">
                    <c:v>1.2065791865158932</c:v>
                  </c:pt>
                  <c:pt idx="12">
                    <c:v>3.761604267685079</c:v>
                  </c:pt>
                  <c:pt idx="13">
                    <c:v>1.433410850617023</c:v>
                  </c:pt>
                  <c:pt idx="14">
                    <c:v>1.2998717885494844</c:v>
                  </c:pt>
                  <c:pt idx="15">
                    <c:v>1.1552777443830233</c:v>
                  </c:pt>
                  <c:pt idx="16">
                    <c:v>1.4926486525636147</c:v>
                  </c:pt>
                  <c:pt idx="17">
                    <c:v>2.254772715818586</c:v>
                  </c:pt>
                  <c:pt idx="18">
                    <c:v>0.7286974680894323</c:v>
                  </c:pt>
                  <c:pt idx="19">
                    <c:v>1.3556056457048236</c:v>
                  </c:pt>
                  <c:pt idx="20">
                    <c:v>1.0733126291999617</c:v>
                  </c:pt>
                  <c:pt idx="21">
                    <c:v>0.9453394452083023</c:v>
                  </c:pt>
                  <c:pt idx="22">
                    <c:v>1.0411532067856366</c:v>
                  </c:pt>
                  <c:pt idx="23">
                    <c:v>0.7092249290598999</c:v>
                  </c:pt>
                  <c:pt idx="24">
                    <c:v>1.0838204033264203</c:v>
                  </c:pt>
                  <c:pt idx="25">
                    <c:v>0.6024948132556918</c:v>
                  </c:pt>
                  <c:pt idx="26">
                    <c:v>0.723878442834202</c:v>
                  </c:pt>
                  <c:pt idx="27">
                    <c:v>1.4109098719148134</c:v>
                  </c:pt>
                  <c:pt idx="28">
                    <c:v>1.3407709225168525</c:v>
                  </c:pt>
                  <c:pt idx="29">
                    <c:v>0.7332575718440347</c:v>
                  </c:pt>
                  <c:pt idx="30">
                    <c:v>0.68992753242638</c:v>
                  </c:pt>
                  <c:pt idx="31">
                    <c:v>1.4418737808837645</c:v>
                  </c:pt>
                  <c:pt idx="32">
                    <c:v>2.122891110412065</c:v>
                  </c:pt>
                  <c:pt idx="33">
                    <c:v>0.07071067811865576</c:v>
                  </c:pt>
                  <c:pt idx="34">
                    <c:v>1.2755391017134847</c:v>
                  </c:pt>
                  <c:pt idx="35">
                    <c:v>2.12884945451761</c:v>
                  </c:pt>
                  <c:pt idx="36">
                    <c:v>1.0387492478938294</c:v>
                  </c:pt>
                  <c:pt idx="37">
                    <c:v>1.19791485507109</c:v>
                  </c:pt>
                  <c:pt idx="38">
                    <c:v>0.938971068067027</c:v>
                  </c:pt>
                  <c:pt idx="39">
                    <c:v>1.156575404660976</c:v>
                  </c:pt>
                  <c:pt idx="40">
                    <c:v>0.5537749241945739</c:v>
                  </c:pt>
                  <c:pt idx="41">
                    <c:v>0.49295030175472515</c:v>
                  </c:pt>
                  <c:pt idx="42">
                    <c:v>0.7118052168020832</c:v>
                  </c:pt>
                  <c:pt idx="43">
                    <c:v>0.8018728078691963</c:v>
                  </c:pt>
                  <c:pt idx="44">
                    <c:v>1.3386560424545406</c:v>
                  </c:pt>
                  <c:pt idx="45">
                    <c:v>2.0304350929459924</c:v>
                  </c:pt>
                  <c:pt idx="46">
                    <c:v>1.1189280584559484</c:v>
                  </c:pt>
                  <c:pt idx="47">
                    <c:v>1.7235622027262747</c:v>
                  </c:pt>
                  <c:pt idx="48">
                    <c:v>0.6282250127673846</c:v>
                  </c:pt>
                  <c:pt idx="49">
                    <c:v>0.32249030993165434</c:v>
                  </c:pt>
                  <c:pt idx="50">
                    <c:v>2.1600154320436404</c:v>
                  </c:pt>
                  <c:pt idx="51">
                    <c:v>1.764558490576749</c:v>
                  </c:pt>
                  <c:pt idx="52">
                    <c:v>0.5656854249492219</c:v>
                  </c:pt>
                  <c:pt idx="53">
                    <c:v>1.0381072520055783</c:v>
                  </c:pt>
                  <c:pt idx="54">
                    <c:v>2.160246899469315</c:v>
                  </c:pt>
                  <c:pt idx="55">
                    <c:v>1.1349008767288733</c:v>
                  </c:pt>
                  <c:pt idx="56">
                    <c:v>0.7494442385306394</c:v>
                  </c:pt>
                  <c:pt idx="57">
                    <c:v>0.9395034149308253</c:v>
                  </c:pt>
                  <c:pt idx="58">
                    <c:v>0.5089204259998591</c:v>
                  </c:pt>
                  <c:pt idx="59">
                    <c:v>1.1478966271693278</c:v>
                  </c:pt>
                  <c:pt idx="60">
                    <c:v>0.5163977794942636</c:v>
                  </c:pt>
                  <c:pt idx="61">
                    <c:v>1.4414113454065305</c:v>
                  </c:pt>
                  <c:pt idx="62">
                    <c:v>0.9516652072376287</c:v>
                  </c:pt>
                  <c:pt idx="63">
                    <c:v>1.2940891262454763</c:v>
                  </c:pt>
                  <c:pt idx="64">
                    <c:v>1.1338724208069895</c:v>
                  </c:pt>
                  <c:pt idx="65">
                    <c:v>1.8917364157478933</c:v>
                  </c:pt>
                  <c:pt idx="66">
                    <c:v>0.6306081720582489</c:v>
                  </c:pt>
                  <c:pt idx="67">
                    <c:v>0.9507891459203034</c:v>
                  </c:pt>
                  <c:pt idx="68">
                    <c:v>1.5131644546006044</c:v>
                  </c:pt>
                  <c:pt idx="69">
                    <c:v>0.5853773711604496</c:v>
                  </c:pt>
                  <c:pt idx="70">
                    <c:v>0.7231873892705516</c:v>
                  </c:pt>
                  <c:pt idx="71">
                    <c:v>1.1089033621856812</c:v>
                  </c:pt>
                  <c:pt idx="72">
                    <c:v>1.3838352503098081</c:v>
                  </c:pt>
                  <c:pt idx="73">
                    <c:v>0.7266360849833804</c:v>
                  </c:pt>
                  <c:pt idx="74">
                    <c:v>1.6848343143070732</c:v>
                  </c:pt>
                  <c:pt idx="75">
                    <c:v>1.09848380355229</c:v>
                  </c:pt>
                  <c:pt idx="76">
                    <c:v>1.586715685517355</c:v>
                  </c:pt>
                  <c:pt idx="77">
                    <c:v>0.4885352256149542</c:v>
                  </c:pt>
                  <c:pt idx="78">
                    <c:v>1.5175638372075075</c:v>
                  </c:pt>
                  <c:pt idx="79">
                    <c:v>1.2940891262454062</c:v>
                  </c:pt>
                  <c:pt idx="80">
                    <c:v>1.5513435037627068</c:v>
                  </c:pt>
                  <c:pt idx="81">
                    <c:v>1.9531171666509664</c:v>
                  </c:pt>
                  <c:pt idx="82">
                    <c:v>1.0745541711178002</c:v>
                  </c:pt>
                  <c:pt idx="83">
                    <c:v>1.4302680401472632</c:v>
                  </c:pt>
                  <c:pt idx="84">
                    <c:v>0.8213809510005965</c:v>
                  </c:pt>
                  <c:pt idx="85">
                    <c:v>1.068488028321612</c:v>
                  </c:pt>
                  <c:pt idx="86">
                    <c:v>1.229091805629973</c:v>
                  </c:pt>
                  <c:pt idx="87">
                    <c:v>0.6715653356151812</c:v>
                  </c:pt>
                  <c:pt idx="88">
                    <c:v>0.6501281924871787</c:v>
                  </c:pt>
                  <c:pt idx="89">
                    <c:v>0.9316651759081606</c:v>
                  </c:pt>
                  <c:pt idx="90">
                    <c:v>1.0147249216741983</c:v>
                  </c:pt>
                  <c:pt idx="91">
                    <c:v>1.2612163441165338</c:v>
                  </c:pt>
                  <c:pt idx="92">
                    <c:v>0.7884584115009357</c:v>
                  </c:pt>
                  <c:pt idx="93">
                    <c:v>1.4212670403551673</c:v>
                  </c:pt>
                  <c:pt idx="94">
                    <c:v>0.6841052550594708</c:v>
                  </c:pt>
                  <c:pt idx="95">
                    <c:v>0.8189424074173973</c:v>
                  </c:pt>
                  <c:pt idx="96">
                    <c:v>4.199047511043434</c:v>
                  </c:pt>
                  <c:pt idx="97">
                    <c:v>0.8500980335623655</c:v>
                  </c:pt>
                  <c:pt idx="98">
                    <c:v>1.1754431788336945</c:v>
                  </c:pt>
                  <c:pt idx="99">
                    <c:v>0.6860515043833428</c:v>
                  </c:pt>
                  <c:pt idx="100">
                    <c:v>0.6250333324444987</c:v>
                  </c:pt>
                  <c:pt idx="101">
                    <c:v>0.7788880963698576</c:v>
                  </c:pt>
                  <c:pt idx="102">
                    <c:v>1.0013324456276795</c:v>
                  </c:pt>
                  <c:pt idx="103">
                    <c:v>1.309452811928159</c:v>
                  </c:pt>
                  <c:pt idx="104">
                    <c:v>0.7250287350627326</c:v>
                  </c:pt>
                  <c:pt idx="105">
                    <c:v>1.0583005244258061</c:v>
                  </c:pt>
                  <c:pt idx="106">
                    <c:v>1.2676750372236634</c:v>
                  </c:pt>
                  <c:pt idx="107">
                    <c:v>0.9055385138137316</c:v>
                  </c:pt>
                  <c:pt idx="108">
                    <c:v>0.6782329983126543</c:v>
                  </c:pt>
                  <c:pt idx="109">
                    <c:v>1.0796604404472154</c:v>
                  </c:pt>
                  <c:pt idx="110">
                    <c:v>1.7375269782078482</c:v>
                  </c:pt>
                  <c:pt idx="111">
                    <c:v>1.6228575620388155</c:v>
                  </c:pt>
                  <c:pt idx="112">
                    <c:v>1.5667375870472429</c:v>
                  </c:pt>
                  <c:pt idx="113">
                    <c:v>1.574060566390815</c:v>
                  </c:pt>
                  <c:pt idx="114">
                    <c:v>0.8304617189652659</c:v>
                  </c:pt>
                  <c:pt idx="115">
                    <c:v>0.923940835046642</c:v>
                  </c:pt>
                  <c:pt idx="116">
                    <c:v>1.1720352668186516</c:v>
                  </c:pt>
                  <c:pt idx="117">
                    <c:v>1.9165072397463052</c:v>
                  </c:pt>
                  <c:pt idx="118">
                    <c:v>0.404969134626316</c:v>
                  </c:pt>
                  <c:pt idx="119">
                    <c:v>2.2833454987510193</c:v>
                  </c:pt>
                </c:numCache>
              </c:numRef>
            </c:plus>
            <c:minus>
              <c:numRef>
                <c:f>'Data matrix'!$Q$4:$Q$123</c:f>
                <c:numCache>
                  <c:ptCount val="120"/>
                  <c:pt idx="0">
                    <c:v>1.5892346166210531</c:v>
                  </c:pt>
                  <c:pt idx="1">
                    <c:v>1.2828354012369392</c:v>
                  </c:pt>
                  <c:pt idx="2">
                    <c:v>1.9473058311421072</c:v>
                  </c:pt>
                  <c:pt idx="3">
                    <c:v>1.4881756168768183</c:v>
                  </c:pt>
                  <c:pt idx="4">
                    <c:v>0.3535533905932738</c:v>
                  </c:pt>
                  <c:pt idx="5">
                    <c:v>0</c:v>
                  </c:pt>
                  <c:pt idx="6">
                    <c:v>2.3721298446754693</c:v>
                  </c:pt>
                  <c:pt idx="7">
                    <c:v>0.9359487165438675</c:v>
                  </c:pt>
                  <c:pt idx="8">
                    <c:v>1.6240894885032633</c:v>
                  </c:pt>
                  <c:pt idx="9">
                    <c:v>1.2220201853216064</c:v>
                  </c:pt>
                  <c:pt idx="10">
                    <c:v>0.7089898917943565</c:v>
                  </c:pt>
                  <c:pt idx="11">
                    <c:v>1.2065791865158932</c:v>
                  </c:pt>
                  <c:pt idx="12">
                    <c:v>3.761604267685079</c:v>
                  </c:pt>
                  <c:pt idx="13">
                    <c:v>1.433410850617023</c:v>
                  </c:pt>
                  <c:pt idx="14">
                    <c:v>1.2998717885494844</c:v>
                  </c:pt>
                  <c:pt idx="15">
                    <c:v>1.1552777443830233</c:v>
                  </c:pt>
                  <c:pt idx="16">
                    <c:v>1.4926486525636147</c:v>
                  </c:pt>
                  <c:pt idx="17">
                    <c:v>2.254772715818586</c:v>
                  </c:pt>
                  <c:pt idx="18">
                    <c:v>0.7286974680894323</c:v>
                  </c:pt>
                  <c:pt idx="19">
                    <c:v>1.3556056457048236</c:v>
                  </c:pt>
                  <c:pt idx="20">
                    <c:v>1.0733126291999617</c:v>
                  </c:pt>
                  <c:pt idx="21">
                    <c:v>0.9453394452083023</c:v>
                  </c:pt>
                  <c:pt idx="22">
                    <c:v>1.0411532067856366</c:v>
                  </c:pt>
                  <c:pt idx="23">
                    <c:v>0.7092249290598999</c:v>
                  </c:pt>
                  <c:pt idx="24">
                    <c:v>1.0838204033264203</c:v>
                  </c:pt>
                  <c:pt idx="25">
                    <c:v>0.6024948132556918</c:v>
                  </c:pt>
                  <c:pt idx="26">
                    <c:v>0.723878442834202</c:v>
                  </c:pt>
                  <c:pt idx="27">
                    <c:v>1.4109098719148134</c:v>
                  </c:pt>
                  <c:pt idx="28">
                    <c:v>1.3407709225168525</c:v>
                  </c:pt>
                  <c:pt idx="29">
                    <c:v>0.7332575718440347</c:v>
                  </c:pt>
                  <c:pt idx="30">
                    <c:v>0.68992753242638</c:v>
                  </c:pt>
                  <c:pt idx="31">
                    <c:v>1.4418737808837645</c:v>
                  </c:pt>
                  <c:pt idx="32">
                    <c:v>2.122891110412065</c:v>
                  </c:pt>
                  <c:pt idx="33">
                    <c:v>0.07071067811865576</c:v>
                  </c:pt>
                  <c:pt idx="34">
                    <c:v>1.2755391017134847</c:v>
                  </c:pt>
                  <c:pt idx="35">
                    <c:v>2.12884945451761</c:v>
                  </c:pt>
                  <c:pt idx="36">
                    <c:v>1.0387492478938294</c:v>
                  </c:pt>
                  <c:pt idx="37">
                    <c:v>1.19791485507109</c:v>
                  </c:pt>
                  <c:pt idx="38">
                    <c:v>0.938971068067027</c:v>
                  </c:pt>
                  <c:pt idx="39">
                    <c:v>1.156575404660976</c:v>
                  </c:pt>
                  <c:pt idx="40">
                    <c:v>0.5537749241945739</c:v>
                  </c:pt>
                  <c:pt idx="41">
                    <c:v>0.49295030175472515</c:v>
                  </c:pt>
                  <c:pt idx="42">
                    <c:v>0.7118052168020832</c:v>
                  </c:pt>
                  <c:pt idx="43">
                    <c:v>0.8018728078691963</c:v>
                  </c:pt>
                  <c:pt idx="44">
                    <c:v>1.3386560424545406</c:v>
                  </c:pt>
                  <c:pt idx="45">
                    <c:v>2.0304350929459924</c:v>
                  </c:pt>
                  <c:pt idx="46">
                    <c:v>1.1189280584559484</c:v>
                  </c:pt>
                  <c:pt idx="47">
                    <c:v>1.7235622027262747</c:v>
                  </c:pt>
                  <c:pt idx="48">
                    <c:v>0.6282250127673846</c:v>
                  </c:pt>
                  <c:pt idx="49">
                    <c:v>0.32249030993165434</c:v>
                  </c:pt>
                  <c:pt idx="50">
                    <c:v>2.1600154320436404</c:v>
                  </c:pt>
                  <c:pt idx="51">
                    <c:v>1.764558490576749</c:v>
                  </c:pt>
                  <c:pt idx="52">
                    <c:v>0.5656854249492219</c:v>
                  </c:pt>
                  <c:pt idx="53">
                    <c:v>1.0381072520055783</c:v>
                  </c:pt>
                  <c:pt idx="54">
                    <c:v>2.160246899469315</c:v>
                  </c:pt>
                  <c:pt idx="55">
                    <c:v>1.1349008767288733</c:v>
                  </c:pt>
                  <c:pt idx="56">
                    <c:v>0.7494442385306394</c:v>
                  </c:pt>
                  <c:pt idx="57">
                    <c:v>0.9395034149308253</c:v>
                  </c:pt>
                  <c:pt idx="58">
                    <c:v>0.5089204259998591</c:v>
                  </c:pt>
                  <c:pt idx="59">
                    <c:v>1.1478966271693278</c:v>
                  </c:pt>
                  <c:pt idx="60">
                    <c:v>0.5163977794942636</c:v>
                  </c:pt>
                  <c:pt idx="61">
                    <c:v>1.4414113454065305</c:v>
                  </c:pt>
                  <c:pt idx="62">
                    <c:v>0.9516652072376287</c:v>
                  </c:pt>
                  <c:pt idx="63">
                    <c:v>1.2940891262454763</c:v>
                  </c:pt>
                  <c:pt idx="64">
                    <c:v>1.1338724208069895</c:v>
                  </c:pt>
                  <c:pt idx="65">
                    <c:v>1.8917364157478933</c:v>
                  </c:pt>
                  <c:pt idx="66">
                    <c:v>0.6306081720582489</c:v>
                  </c:pt>
                  <c:pt idx="67">
                    <c:v>0.9507891459203034</c:v>
                  </c:pt>
                  <c:pt idx="68">
                    <c:v>1.5131644546006044</c:v>
                  </c:pt>
                  <c:pt idx="69">
                    <c:v>0.5853773711604496</c:v>
                  </c:pt>
                  <c:pt idx="70">
                    <c:v>0.7231873892705516</c:v>
                  </c:pt>
                  <c:pt idx="71">
                    <c:v>1.1089033621856812</c:v>
                  </c:pt>
                  <c:pt idx="72">
                    <c:v>1.3838352503098081</c:v>
                  </c:pt>
                  <c:pt idx="73">
                    <c:v>0.7266360849833804</c:v>
                  </c:pt>
                  <c:pt idx="74">
                    <c:v>1.6848343143070732</c:v>
                  </c:pt>
                  <c:pt idx="75">
                    <c:v>1.09848380355229</c:v>
                  </c:pt>
                  <c:pt idx="76">
                    <c:v>1.586715685517355</c:v>
                  </c:pt>
                  <c:pt idx="77">
                    <c:v>0.4885352256149542</c:v>
                  </c:pt>
                  <c:pt idx="78">
                    <c:v>1.5175638372075075</c:v>
                  </c:pt>
                  <c:pt idx="79">
                    <c:v>1.2940891262454062</c:v>
                  </c:pt>
                  <c:pt idx="80">
                    <c:v>1.5513435037627068</c:v>
                  </c:pt>
                  <c:pt idx="81">
                    <c:v>1.9531171666509664</c:v>
                  </c:pt>
                  <c:pt idx="82">
                    <c:v>1.0745541711178002</c:v>
                  </c:pt>
                  <c:pt idx="83">
                    <c:v>1.4302680401472632</c:v>
                  </c:pt>
                  <c:pt idx="84">
                    <c:v>0.8213809510005965</c:v>
                  </c:pt>
                  <c:pt idx="85">
                    <c:v>1.068488028321612</c:v>
                  </c:pt>
                  <c:pt idx="86">
                    <c:v>1.229091805629973</c:v>
                  </c:pt>
                  <c:pt idx="87">
                    <c:v>0.6715653356151812</c:v>
                  </c:pt>
                  <c:pt idx="88">
                    <c:v>0.6501281924871787</c:v>
                  </c:pt>
                  <c:pt idx="89">
                    <c:v>0.9316651759081606</c:v>
                  </c:pt>
                  <c:pt idx="90">
                    <c:v>1.0147249216741983</c:v>
                  </c:pt>
                  <c:pt idx="91">
                    <c:v>1.2612163441165338</c:v>
                  </c:pt>
                  <c:pt idx="92">
                    <c:v>0.7884584115009357</c:v>
                  </c:pt>
                  <c:pt idx="93">
                    <c:v>1.4212670403551673</c:v>
                  </c:pt>
                  <c:pt idx="94">
                    <c:v>0.6841052550594708</c:v>
                  </c:pt>
                  <c:pt idx="95">
                    <c:v>0.8189424074173973</c:v>
                  </c:pt>
                  <c:pt idx="96">
                    <c:v>4.199047511043434</c:v>
                  </c:pt>
                  <c:pt idx="97">
                    <c:v>0.8500980335623655</c:v>
                  </c:pt>
                  <c:pt idx="98">
                    <c:v>1.1754431788336945</c:v>
                  </c:pt>
                  <c:pt idx="99">
                    <c:v>0.6860515043833428</c:v>
                  </c:pt>
                  <c:pt idx="100">
                    <c:v>0.6250333324444987</c:v>
                  </c:pt>
                  <c:pt idx="101">
                    <c:v>0.7788880963698576</c:v>
                  </c:pt>
                  <c:pt idx="102">
                    <c:v>1.0013324456276795</c:v>
                  </c:pt>
                  <c:pt idx="103">
                    <c:v>1.309452811928159</c:v>
                  </c:pt>
                  <c:pt idx="104">
                    <c:v>0.7250287350627326</c:v>
                  </c:pt>
                  <c:pt idx="105">
                    <c:v>1.0583005244258061</c:v>
                  </c:pt>
                  <c:pt idx="106">
                    <c:v>1.2676750372236634</c:v>
                  </c:pt>
                  <c:pt idx="107">
                    <c:v>0.9055385138137316</c:v>
                  </c:pt>
                  <c:pt idx="108">
                    <c:v>0.6782329983126543</c:v>
                  </c:pt>
                  <c:pt idx="109">
                    <c:v>1.0796604404472154</c:v>
                  </c:pt>
                  <c:pt idx="110">
                    <c:v>1.7375269782078482</c:v>
                  </c:pt>
                  <c:pt idx="111">
                    <c:v>1.6228575620388155</c:v>
                  </c:pt>
                  <c:pt idx="112">
                    <c:v>1.5667375870472429</c:v>
                  </c:pt>
                  <c:pt idx="113">
                    <c:v>1.574060566390815</c:v>
                  </c:pt>
                  <c:pt idx="114">
                    <c:v>0.8304617189652659</c:v>
                  </c:pt>
                  <c:pt idx="115">
                    <c:v>0.923940835046642</c:v>
                  </c:pt>
                  <c:pt idx="116">
                    <c:v>1.1720352668186516</c:v>
                  </c:pt>
                  <c:pt idx="117">
                    <c:v>1.9165072397463052</c:v>
                  </c:pt>
                  <c:pt idx="118">
                    <c:v>0.404969134626316</c:v>
                  </c:pt>
                  <c:pt idx="119">
                    <c:v>2.2833454987510193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'Data matrix'!$K$4:$K$123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89-AXHVA-6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matrix'!$P$4:$P$123</c:f>
              <c:numCache>
                <c:ptCount val="120"/>
                <c:pt idx="0">
                  <c:v>16.983333333333334</c:v>
                </c:pt>
                <c:pt idx="1">
                  <c:v>13.983333333333333</c:v>
                </c:pt>
                <c:pt idx="2">
                  <c:v>13.199999999999998</c:v>
                </c:pt>
                <c:pt idx="3">
                  <c:v>13.466666666666667</c:v>
                </c:pt>
                <c:pt idx="4">
                  <c:v>20.05</c:v>
                </c:pt>
                <c:pt idx="5">
                  <c:v>19.6</c:v>
                </c:pt>
                <c:pt idx="6">
                  <c:v>21.32</c:v>
                </c:pt>
                <c:pt idx="7">
                  <c:v>22.2</c:v>
                </c:pt>
                <c:pt idx="8">
                  <c:v>19.816666666666666</c:v>
                </c:pt>
                <c:pt idx="9">
                  <c:v>18.833333333333332</c:v>
                </c:pt>
                <c:pt idx="10">
                  <c:v>18.76666666666667</c:v>
                </c:pt>
                <c:pt idx="11">
                  <c:v>20.825</c:v>
                </c:pt>
                <c:pt idx="12">
                  <c:v>20.483333333333334</c:v>
                </c:pt>
                <c:pt idx="13">
                  <c:v>21.666666666666668</c:v>
                </c:pt>
                <c:pt idx="14">
                  <c:v>18.88333333333333</c:v>
                </c:pt>
                <c:pt idx="15">
                  <c:v>20.53333333333333</c:v>
                </c:pt>
                <c:pt idx="16">
                  <c:v>16.5</c:v>
                </c:pt>
                <c:pt idx="17">
                  <c:v>21.400000000000002</c:v>
                </c:pt>
                <c:pt idx="18">
                  <c:v>14.050000000000002</c:v>
                </c:pt>
                <c:pt idx="19">
                  <c:v>19.516666666666666</c:v>
                </c:pt>
                <c:pt idx="20">
                  <c:v>16.599999999999998</c:v>
                </c:pt>
                <c:pt idx="21">
                  <c:v>18.616666666666664</c:v>
                </c:pt>
                <c:pt idx="22">
                  <c:v>12.299999999999999</c:v>
                </c:pt>
                <c:pt idx="23">
                  <c:v>13.75</c:v>
                </c:pt>
                <c:pt idx="24">
                  <c:v>14.866666666666667</c:v>
                </c:pt>
                <c:pt idx="25">
                  <c:v>18.150000000000002</c:v>
                </c:pt>
                <c:pt idx="26">
                  <c:v>17.9</c:v>
                </c:pt>
                <c:pt idx="27">
                  <c:v>12.633333333333333</c:v>
                </c:pt>
                <c:pt idx="28">
                  <c:v>14.683333333333332</c:v>
                </c:pt>
                <c:pt idx="29">
                  <c:v>12.316666666666668</c:v>
                </c:pt>
                <c:pt idx="30">
                  <c:v>11.800000000000002</c:v>
                </c:pt>
                <c:pt idx="31">
                  <c:v>13.35</c:v>
                </c:pt>
                <c:pt idx="32">
                  <c:v>22.933333333333337</c:v>
                </c:pt>
                <c:pt idx="33">
                  <c:v>17.95</c:v>
                </c:pt>
                <c:pt idx="34">
                  <c:v>15.649999999999999</c:v>
                </c:pt>
                <c:pt idx="35">
                  <c:v>17.900000000000002</c:v>
                </c:pt>
                <c:pt idx="36">
                  <c:v>17.25</c:v>
                </c:pt>
                <c:pt idx="37">
                  <c:v>14.75</c:v>
                </c:pt>
                <c:pt idx="38">
                  <c:v>21.316666666666663</c:v>
                </c:pt>
                <c:pt idx="39">
                  <c:v>18.916666666666668</c:v>
                </c:pt>
                <c:pt idx="40">
                  <c:v>12.366666666666665</c:v>
                </c:pt>
                <c:pt idx="41">
                  <c:v>16.25</c:v>
                </c:pt>
                <c:pt idx="42">
                  <c:v>13.966666666666667</c:v>
                </c:pt>
                <c:pt idx="43">
                  <c:v>19.75</c:v>
                </c:pt>
                <c:pt idx="44">
                  <c:v>15.199999999999998</c:v>
                </c:pt>
                <c:pt idx="45">
                  <c:v>15.033333333333333</c:v>
                </c:pt>
                <c:pt idx="46">
                  <c:v>15</c:v>
                </c:pt>
                <c:pt idx="47">
                  <c:v>15.133333333333335</c:v>
                </c:pt>
                <c:pt idx="48">
                  <c:v>13.066666666666668</c:v>
                </c:pt>
                <c:pt idx="49">
                  <c:v>21.3</c:v>
                </c:pt>
                <c:pt idx="50">
                  <c:v>15.583333333333334</c:v>
                </c:pt>
                <c:pt idx="51">
                  <c:v>18.11666666666667</c:v>
                </c:pt>
                <c:pt idx="52">
                  <c:v>20</c:v>
                </c:pt>
                <c:pt idx="53">
                  <c:v>17.316666666666666</c:v>
                </c:pt>
                <c:pt idx="54">
                  <c:v>19.03333333333333</c:v>
                </c:pt>
                <c:pt idx="55">
                  <c:v>16.400000000000002</c:v>
                </c:pt>
                <c:pt idx="56">
                  <c:v>19.516666666666666</c:v>
                </c:pt>
                <c:pt idx="57">
                  <c:v>20.333333333333332</c:v>
                </c:pt>
                <c:pt idx="58">
                  <c:v>18.05</c:v>
                </c:pt>
                <c:pt idx="59">
                  <c:v>18.583333333333332</c:v>
                </c:pt>
                <c:pt idx="60">
                  <c:v>16.36666666666667</c:v>
                </c:pt>
                <c:pt idx="61">
                  <c:v>18.983333333333334</c:v>
                </c:pt>
                <c:pt idx="62">
                  <c:v>20.116666666666667</c:v>
                </c:pt>
                <c:pt idx="63">
                  <c:v>18.53333333333333</c:v>
                </c:pt>
                <c:pt idx="64">
                  <c:v>17.083333333333332</c:v>
                </c:pt>
                <c:pt idx="65">
                  <c:v>19.566666666666666</c:v>
                </c:pt>
                <c:pt idx="66">
                  <c:v>19.283333333333335</c:v>
                </c:pt>
                <c:pt idx="67">
                  <c:v>17.6</c:v>
                </c:pt>
                <c:pt idx="68">
                  <c:v>19.916666666666668</c:v>
                </c:pt>
                <c:pt idx="69">
                  <c:v>15.066666666666665</c:v>
                </c:pt>
                <c:pt idx="70">
                  <c:v>17.650000000000002</c:v>
                </c:pt>
                <c:pt idx="71">
                  <c:v>21.083333333333332</c:v>
                </c:pt>
                <c:pt idx="72">
                  <c:v>17.45</c:v>
                </c:pt>
                <c:pt idx="73">
                  <c:v>18.599999999999998</c:v>
                </c:pt>
                <c:pt idx="74">
                  <c:v>17.233333333333334</c:v>
                </c:pt>
                <c:pt idx="75">
                  <c:v>17.133333333333333</c:v>
                </c:pt>
                <c:pt idx="76">
                  <c:v>19.383333333333333</c:v>
                </c:pt>
                <c:pt idx="77">
                  <c:v>12.366666666666667</c:v>
                </c:pt>
                <c:pt idx="78">
                  <c:v>17.75</c:v>
                </c:pt>
                <c:pt idx="79">
                  <c:v>19.033333333333335</c:v>
                </c:pt>
                <c:pt idx="80">
                  <c:v>20.766666666666666</c:v>
                </c:pt>
                <c:pt idx="81">
                  <c:v>15.366666666666667</c:v>
                </c:pt>
                <c:pt idx="82">
                  <c:v>16.466666666666665</c:v>
                </c:pt>
                <c:pt idx="83">
                  <c:v>20.216666666666665</c:v>
                </c:pt>
                <c:pt idx="84">
                  <c:v>15.733333333333334</c:v>
                </c:pt>
                <c:pt idx="85">
                  <c:v>17.51666666666667</c:v>
                </c:pt>
                <c:pt idx="86">
                  <c:v>19.666666666666668</c:v>
                </c:pt>
                <c:pt idx="87">
                  <c:v>15.350000000000001</c:v>
                </c:pt>
                <c:pt idx="88">
                  <c:v>14.766666666666666</c:v>
                </c:pt>
                <c:pt idx="89">
                  <c:v>14.9</c:v>
                </c:pt>
                <c:pt idx="90">
                  <c:v>17.78333333333333</c:v>
                </c:pt>
                <c:pt idx="91">
                  <c:v>14.133333333333335</c:v>
                </c:pt>
                <c:pt idx="92">
                  <c:v>14.783333333333337</c:v>
                </c:pt>
                <c:pt idx="93">
                  <c:v>17.400000000000002</c:v>
                </c:pt>
                <c:pt idx="94">
                  <c:v>18.3</c:v>
                </c:pt>
                <c:pt idx="95">
                  <c:v>13.166666666666666</c:v>
                </c:pt>
                <c:pt idx="96">
                  <c:v>17.599999999999998</c:v>
                </c:pt>
                <c:pt idx="97">
                  <c:v>15.566666666666668</c:v>
                </c:pt>
                <c:pt idx="98">
                  <c:v>17.683333333333334</c:v>
                </c:pt>
                <c:pt idx="99">
                  <c:v>16.166666666666668</c:v>
                </c:pt>
                <c:pt idx="100">
                  <c:v>12.966666666666667</c:v>
                </c:pt>
                <c:pt idx="101">
                  <c:v>15.833333333333334</c:v>
                </c:pt>
                <c:pt idx="102">
                  <c:v>16.466666666666665</c:v>
                </c:pt>
                <c:pt idx="103">
                  <c:v>18.733333333333334</c:v>
                </c:pt>
                <c:pt idx="104">
                  <c:v>16.616666666666667</c:v>
                </c:pt>
                <c:pt idx="105">
                  <c:v>18.2</c:v>
                </c:pt>
                <c:pt idx="106">
                  <c:v>14.950000000000001</c:v>
                </c:pt>
                <c:pt idx="107">
                  <c:v>17.2</c:v>
                </c:pt>
                <c:pt idx="108">
                  <c:v>17.599999999999998</c:v>
                </c:pt>
                <c:pt idx="109">
                  <c:v>15.183333333333332</c:v>
                </c:pt>
                <c:pt idx="110">
                  <c:v>16.95</c:v>
                </c:pt>
                <c:pt idx="111">
                  <c:v>18.01666666666667</c:v>
                </c:pt>
                <c:pt idx="112">
                  <c:v>18.566666666666666</c:v>
                </c:pt>
                <c:pt idx="113">
                  <c:v>23.21666666666667</c:v>
                </c:pt>
                <c:pt idx="114">
                  <c:v>19.583333333333332</c:v>
                </c:pt>
                <c:pt idx="115">
                  <c:v>15.883333333333333</c:v>
                </c:pt>
                <c:pt idx="116">
                  <c:v>20.716666666666665</c:v>
                </c:pt>
                <c:pt idx="117">
                  <c:v>19.16</c:v>
                </c:pt>
                <c:pt idx="118">
                  <c:v>15.299999999999999</c:v>
                </c:pt>
                <c:pt idx="119">
                  <c:v>21.483333333333334</c:v>
                </c:pt>
              </c:numCache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Genotype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Lenght (cm)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Paddy grain widht</a:t>
            </a:r>
          </a:p>
        </c:rich>
      </c:tx>
      <c:layout>
        <c:manualLayout>
          <c:xMode val="factor"/>
          <c:yMode val="factor"/>
          <c:x val="-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25"/>
          <c:w val="0.985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'Data matrix'!$AQ$4:$AQ$123</c:f>
                <c:numCache>
                  <c:ptCount val="120"/>
                  <c:pt idx="0">
                    <c:v>0.09900056116564744</c:v>
                  </c:pt>
                  <c:pt idx="1">
                    <c:v>0.12813187650923083</c:v>
                  </c:pt>
                  <c:pt idx="2">
                    <c:v>0.21365860619221033</c:v>
                  </c:pt>
                  <c:pt idx="3">
                    <c:v>0.1347590442233876</c:v>
                  </c:pt>
                  <c:pt idx="4">
                    <c:v>0.147633179047116</c:v>
                  </c:pt>
                  <c:pt idx="5">
                    <c:v>0.0889694079757614</c:v>
                  </c:pt>
                  <c:pt idx="6">
                    <c:v>0.12473972903611047</c:v>
                  </c:pt>
                  <c:pt idx="7">
                    <c:v>0.1694468123696198</c:v>
                  </c:pt>
                  <c:pt idx="8">
                    <c:v>0.1535360978185085</c:v>
                  </c:pt>
                  <c:pt idx="9">
                    <c:v>0.08086339647140241</c:v>
                  </c:pt>
                  <c:pt idx="10">
                    <c:v>0.11313708498984137</c:v>
                  </c:pt>
                  <c:pt idx="11">
                    <c:v>0.12340088240275275</c:v>
                  </c:pt>
                  <c:pt idx="12">
                    <c:v>0.1270214330120909</c:v>
                  </c:pt>
                  <c:pt idx="13">
                    <c:v>0.13589620221985638</c:v>
                  </c:pt>
                  <c:pt idx="14">
                    <c:v>0.1725012077252353</c:v>
                  </c:pt>
                  <c:pt idx="15">
                    <c:v>NaN</c:v>
                  </c:pt>
                  <c:pt idx="16">
                    <c:v>0.09519570485175151</c:v>
                  </c:pt>
                  <c:pt idx="17">
                    <c:v>0.1552095357895289</c:v>
                  </c:pt>
                  <c:pt idx="18">
                    <c:v>0.19602720899575693</c:v>
                  </c:pt>
                  <c:pt idx="19">
                    <c:v>0.18355743878506264</c:v>
                  </c:pt>
                  <c:pt idx="20">
                    <c:v>0.08723531395027377</c:v>
                  </c:pt>
                  <c:pt idx="21">
                    <c:v>0.14436065946095605</c:v>
                  </c:pt>
                  <c:pt idx="22">
                    <c:v>0.12016655108639701</c:v>
                  </c:pt>
                  <c:pt idx="23">
                    <c:v>0.1320942424517053</c:v>
                  </c:pt>
                  <c:pt idx="24">
                    <c:v>0.06844300142778623</c:v>
                  </c:pt>
                  <c:pt idx="25">
                    <c:v>0.10044899203079195</c:v>
                  </c:pt>
                  <c:pt idx="26">
                    <c:v>0.13584713631298737</c:v>
                  </c:pt>
                  <c:pt idx="27">
                    <c:v>0.1424390707948075</c:v>
                  </c:pt>
                  <c:pt idx="28">
                    <c:v>NaN</c:v>
                  </c:pt>
                  <c:pt idx="29">
                    <c:v>0.16007290005910307</c:v>
                  </c:pt>
                  <c:pt idx="30">
                    <c:v>0.17483007623275204</c:v>
                  </c:pt>
                  <c:pt idx="31">
                    <c:v>0.0911713892744062</c:v>
                  </c:pt>
                  <c:pt idx="32">
                    <c:v>0.055216744642240204</c:v>
                  </c:pt>
                  <c:pt idx="33">
                    <c:v>NaN</c:v>
                  </c:pt>
                  <c:pt idx="34">
                    <c:v>0.20552372125864687</c:v>
                  </c:pt>
                  <c:pt idx="35">
                    <c:v>0.10768266135064229</c:v>
                  </c:pt>
                  <c:pt idx="36">
                    <c:v>0.12410121317341849</c:v>
                  </c:pt>
                  <c:pt idx="37">
                    <c:v>0.08947377020977325</c:v>
                  </c:pt>
                  <c:pt idx="38">
                    <c:v>0.14323640133243234</c:v>
                  </c:pt>
                  <c:pt idx="39">
                    <c:v>NaN</c:v>
                  </c:pt>
                  <c:pt idx="40">
                    <c:v>0.10392839415246431</c:v>
                  </c:pt>
                  <c:pt idx="41">
                    <c:v>0.1640629960310005</c:v>
                  </c:pt>
                  <c:pt idx="42">
                    <c:v>0.0984829370444017</c:v>
                  </c:pt>
                  <c:pt idx="43">
                    <c:v>0.10737266360151951</c:v>
                  </c:pt>
                  <c:pt idx="44">
                    <c:v>0.14760683513230674</c:v>
                  </c:pt>
                  <c:pt idx="45">
                    <c:v>0.10206751578134432</c:v>
                  </c:pt>
                  <c:pt idx="46">
                    <c:v>0.10774970997643632</c:v>
                  </c:pt>
                  <c:pt idx="47">
                    <c:v>0.11777568132307681</c:v>
                  </c:pt>
                  <c:pt idx="48">
                    <c:v>0.10086294331086272</c:v>
                  </c:pt>
                  <c:pt idx="49">
                    <c:v>0.20720360357227358</c:v>
                  </c:pt>
                  <c:pt idx="50">
                    <c:v>0.160447291449016</c:v>
                  </c:pt>
                  <c:pt idx="51">
                    <c:v>0.1256317369669569</c:v>
                  </c:pt>
                  <c:pt idx="52">
                    <c:v>0.13753787357184427</c:v>
                  </c:pt>
                  <c:pt idx="53">
                    <c:v>0.08310635755864727</c:v>
                  </c:pt>
                  <c:pt idx="54">
                    <c:v>0.21271002692763746</c:v>
                  </c:pt>
                  <c:pt idx="55">
                    <c:v>0.11993053545004273</c:v>
                  </c:pt>
                  <c:pt idx="56">
                    <c:v>0.13509256086105528</c:v>
                  </c:pt>
                  <c:pt idx="57">
                    <c:v>0.11671903586534245</c:v>
                  </c:pt>
                  <c:pt idx="58">
                    <c:v>0.22009089031579515</c:v>
                  </c:pt>
                  <c:pt idx="59">
                    <c:v>0.11049886877250804</c:v>
                  </c:pt>
                  <c:pt idx="60">
                    <c:v>0.06838615844353083</c:v>
                  </c:pt>
                  <c:pt idx="61">
                    <c:v>0.1411697166140429</c:v>
                  </c:pt>
                  <c:pt idx="62">
                    <c:v>0.14410258691485928</c:v>
                  </c:pt>
                  <c:pt idx="63">
                    <c:v>0.10813571719527236</c:v>
                  </c:pt>
                  <c:pt idx="64">
                    <c:v>0.08016649341630536</c:v>
                  </c:pt>
                  <c:pt idx="65">
                    <c:v>0.2291166612109399</c:v>
                  </c:pt>
                  <c:pt idx="66">
                    <c:v>0.17168770097670794</c:v>
                  </c:pt>
                  <c:pt idx="67">
                    <c:v>0.14273518603810273</c:v>
                  </c:pt>
                  <c:pt idx="68">
                    <c:v>0.17421570282587379</c:v>
                  </c:pt>
                  <c:pt idx="69">
                    <c:v>0.09695932709702412</c:v>
                  </c:pt>
                  <c:pt idx="70">
                    <c:v>0.14556022045111294</c:v>
                  </c:pt>
                  <c:pt idx="71">
                    <c:v>0.11659998094149242</c:v>
                  </c:pt>
                  <c:pt idx="72">
                    <c:v>0.1640596097628952</c:v>
                  </c:pt>
                  <c:pt idx="73">
                    <c:v>0.1845836155001653</c:v>
                  </c:pt>
                  <c:pt idx="74">
                    <c:v>0.08221921916436752</c:v>
                  </c:pt>
                  <c:pt idx="75">
                    <c:v>0.11914510294408485</c:v>
                  </c:pt>
                  <c:pt idx="76">
                    <c:v>0.07685484153042844</c:v>
                  </c:pt>
                  <c:pt idx="77">
                    <c:v>0.1204805194027266</c:v>
                  </c:pt>
                  <c:pt idx="78">
                    <c:v>0.10873004286868579</c:v>
                  </c:pt>
                  <c:pt idx="79">
                    <c:v>0.18894149594223866</c:v>
                  </c:pt>
                  <c:pt idx="80">
                    <c:v>0.07660142151277018</c:v>
                  </c:pt>
                  <c:pt idx="81">
                    <c:v>0.1257908316743774</c:v>
                  </c:pt>
                  <c:pt idx="82">
                    <c:v>0.09472767986883826</c:v>
                  </c:pt>
                  <c:pt idx="83">
                    <c:v>0.11100050049937098</c:v>
                  </c:pt>
                  <c:pt idx="84">
                    <c:v>0.07845734863956272</c:v>
                  </c:pt>
                  <c:pt idx="85">
                    <c:v>0.12263767773405615</c:v>
                  </c:pt>
                  <c:pt idx="86">
                    <c:v>0.09442221960723819</c:v>
                  </c:pt>
                  <c:pt idx="87">
                    <c:v>0.120720061851097</c:v>
                  </c:pt>
                  <c:pt idx="88">
                    <c:v>0.06106462878699082</c:v>
                  </c:pt>
                  <c:pt idx="89">
                    <c:v>0.1149154278395786</c:v>
                  </c:pt>
                  <c:pt idx="90">
                    <c:v>0.1860585332033384</c:v>
                  </c:pt>
                  <c:pt idx="91">
                    <c:v>0.07324995259761848</c:v>
                  </c:pt>
                  <c:pt idx="92">
                    <c:v>0.16335374022177515</c:v>
                  </c:pt>
                  <c:pt idx="93">
                    <c:v>0.05696002496881419</c:v>
                  </c:pt>
                  <c:pt idx="94">
                    <c:v>0.053913510984449096</c:v>
                  </c:pt>
                  <c:pt idx="95">
                    <c:v>0.1411893921101842</c:v>
                  </c:pt>
                  <c:pt idx="96">
                    <c:v>0.14283245818479529</c:v>
                  </c:pt>
                  <c:pt idx="97">
                    <c:v>0.0723341013783978</c:v>
                  </c:pt>
                  <c:pt idx="98">
                    <c:v>0.06514940095232184</c:v>
                  </c:pt>
                  <c:pt idx="99">
                    <c:v>0.07303728119565304</c:v>
                  </c:pt>
                  <c:pt idx="100">
                    <c:v>0.11136027618100365</c:v>
                  </c:pt>
                  <c:pt idx="101">
                    <c:v>0.16251153805190852</c:v>
                  </c:pt>
                  <c:pt idx="102">
                    <c:v>0.09237604307032649</c:v>
                  </c:pt>
                  <c:pt idx="103">
                    <c:v>0.06773313648265654</c:v>
                  </c:pt>
                  <c:pt idx="104">
                    <c:v>0.15633297796690762</c:v>
                  </c:pt>
                  <c:pt idx="105">
                    <c:v>0.09393259994983648</c:v>
                  </c:pt>
                  <c:pt idx="106">
                    <c:v>0.05672545969648707</c:v>
                  </c:pt>
                  <c:pt idx="107">
                    <c:v>0.09731963373909186</c:v>
                  </c:pt>
                  <c:pt idx="108">
                    <c:v>0.16910220446687316</c:v>
                  </c:pt>
                  <c:pt idx="109">
                    <c:v>0.10439774369635758</c:v>
                  </c:pt>
                  <c:pt idx="110">
                    <c:v>0.09416887903005539</c:v>
                  </c:pt>
                  <c:pt idx="111">
                    <c:v>0.09243015380997463</c:v>
                  </c:pt>
                  <c:pt idx="112">
                    <c:v>0.1547614652008448</c:v>
                  </c:pt>
                  <c:pt idx="113">
                    <c:v>0.11549410759381258</c:v>
                  </c:pt>
                  <c:pt idx="114">
                    <c:v>0.05055250296034723</c:v>
                  </c:pt>
                  <c:pt idx="115">
                    <c:v>0.14487159065110933</c:v>
                  </c:pt>
                  <c:pt idx="116">
                    <c:v>0.13898441159593555</c:v>
                  </c:pt>
                  <c:pt idx="117">
                    <c:v>0.0648159788255208</c:v>
                  </c:pt>
                  <c:pt idx="118">
                    <c:v>0.1733461533720509</c:v>
                  </c:pt>
                  <c:pt idx="119">
                    <c:v>0.05059644256269409</c:v>
                  </c:pt>
                </c:numCache>
              </c:numRef>
            </c:plus>
            <c:minus>
              <c:numRef>
                <c:f>'Data matrix'!$AQ$4:$AQ$123</c:f>
                <c:numCache>
                  <c:ptCount val="120"/>
                  <c:pt idx="0">
                    <c:v>0.09900056116564744</c:v>
                  </c:pt>
                  <c:pt idx="1">
                    <c:v>0.12813187650923083</c:v>
                  </c:pt>
                  <c:pt idx="2">
                    <c:v>0.21365860619221033</c:v>
                  </c:pt>
                  <c:pt idx="3">
                    <c:v>0.1347590442233876</c:v>
                  </c:pt>
                  <c:pt idx="4">
                    <c:v>0.147633179047116</c:v>
                  </c:pt>
                  <c:pt idx="5">
                    <c:v>0.0889694079757614</c:v>
                  </c:pt>
                  <c:pt idx="6">
                    <c:v>0.12473972903611047</c:v>
                  </c:pt>
                  <c:pt idx="7">
                    <c:v>0.1694468123696198</c:v>
                  </c:pt>
                  <c:pt idx="8">
                    <c:v>0.1535360978185085</c:v>
                  </c:pt>
                  <c:pt idx="9">
                    <c:v>0.08086339647140241</c:v>
                  </c:pt>
                  <c:pt idx="10">
                    <c:v>0.11313708498984137</c:v>
                  </c:pt>
                  <c:pt idx="11">
                    <c:v>0.12340088240275275</c:v>
                  </c:pt>
                  <c:pt idx="12">
                    <c:v>0.1270214330120909</c:v>
                  </c:pt>
                  <c:pt idx="13">
                    <c:v>0.13589620221985638</c:v>
                  </c:pt>
                  <c:pt idx="14">
                    <c:v>0.1725012077252353</c:v>
                  </c:pt>
                  <c:pt idx="15">
                    <c:v>NaN</c:v>
                  </c:pt>
                  <c:pt idx="16">
                    <c:v>0.09519570485175151</c:v>
                  </c:pt>
                  <c:pt idx="17">
                    <c:v>0.1552095357895289</c:v>
                  </c:pt>
                  <c:pt idx="18">
                    <c:v>0.19602720899575693</c:v>
                  </c:pt>
                  <c:pt idx="19">
                    <c:v>0.18355743878506264</c:v>
                  </c:pt>
                  <c:pt idx="20">
                    <c:v>0.08723531395027377</c:v>
                  </c:pt>
                  <c:pt idx="21">
                    <c:v>0.14436065946095605</c:v>
                  </c:pt>
                  <c:pt idx="22">
                    <c:v>0.12016655108639701</c:v>
                  </c:pt>
                  <c:pt idx="23">
                    <c:v>0.1320942424517053</c:v>
                  </c:pt>
                  <c:pt idx="24">
                    <c:v>0.06844300142778623</c:v>
                  </c:pt>
                  <c:pt idx="25">
                    <c:v>0.10044899203079195</c:v>
                  </c:pt>
                  <c:pt idx="26">
                    <c:v>0.13584713631298737</c:v>
                  </c:pt>
                  <c:pt idx="27">
                    <c:v>0.1424390707948075</c:v>
                  </c:pt>
                  <c:pt idx="28">
                    <c:v>NaN</c:v>
                  </c:pt>
                  <c:pt idx="29">
                    <c:v>0.16007290005910307</c:v>
                  </c:pt>
                  <c:pt idx="30">
                    <c:v>0.17483007623275204</c:v>
                  </c:pt>
                  <c:pt idx="31">
                    <c:v>0.0911713892744062</c:v>
                  </c:pt>
                  <c:pt idx="32">
                    <c:v>0.055216744642240204</c:v>
                  </c:pt>
                  <c:pt idx="33">
                    <c:v>NaN</c:v>
                  </c:pt>
                  <c:pt idx="34">
                    <c:v>0.20552372125864687</c:v>
                  </c:pt>
                  <c:pt idx="35">
                    <c:v>0.10768266135064229</c:v>
                  </c:pt>
                  <c:pt idx="36">
                    <c:v>0.12410121317341849</c:v>
                  </c:pt>
                  <c:pt idx="37">
                    <c:v>0.08947377020977325</c:v>
                  </c:pt>
                  <c:pt idx="38">
                    <c:v>0.14323640133243234</c:v>
                  </c:pt>
                  <c:pt idx="39">
                    <c:v>NaN</c:v>
                  </c:pt>
                  <c:pt idx="40">
                    <c:v>0.10392839415246431</c:v>
                  </c:pt>
                  <c:pt idx="41">
                    <c:v>0.1640629960310005</c:v>
                  </c:pt>
                  <c:pt idx="42">
                    <c:v>0.0984829370444017</c:v>
                  </c:pt>
                  <c:pt idx="43">
                    <c:v>0.10737266360151951</c:v>
                  </c:pt>
                  <c:pt idx="44">
                    <c:v>0.14760683513230674</c:v>
                  </c:pt>
                  <c:pt idx="45">
                    <c:v>0.10206751578134432</c:v>
                  </c:pt>
                  <c:pt idx="46">
                    <c:v>0.10774970997643632</c:v>
                  </c:pt>
                  <c:pt idx="47">
                    <c:v>0.11777568132307681</c:v>
                  </c:pt>
                  <c:pt idx="48">
                    <c:v>0.10086294331086272</c:v>
                  </c:pt>
                  <c:pt idx="49">
                    <c:v>0.20720360357227358</c:v>
                  </c:pt>
                  <c:pt idx="50">
                    <c:v>0.160447291449016</c:v>
                  </c:pt>
                  <c:pt idx="51">
                    <c:v>0.1256317369669569</c:v>
                  </c:pt>
                  <c:pt idx="52">
                    <c:v>0.13753787357184427</c:v>
                  </c:pt>
                  <c:pt idx="53">
                    <c:v>0.08310635755864727</c:v>
                  </c:pt>
                  <c:pt idx="54">
                    <c:v>0.21271002692763746</c:v>
                  </c:pt>
                  <c:pt idx="55">
                    <c:v>0.11993053545004273</c:v>
                  </c:pt>
                  <c:pt idx="56">
                    <c:v>0.13509256086105528</c:v>
                  </c:pt>
                  <c:pt idx="57">
                    <c:v>0.11671903586534245</c:v>
                  </c:pt>
                  <c:pt idx="58">
                    <c:v>0.22009089031579515</c:v>
                  </c:pt>
                  <c:pt idx="59">
                    <c:v>0.11049886877250804</c:v>
                  </c:pt>
                  <c:pt idx="60">
                    <c:v>0.06838615844353083</c:v>
                  </c:pt>
                  <c:pt idx="61">
                    <c:v>0.1411697166140429</c:v>
                  </c:pt>
                  <c:pt idx="62">
                    <c:v>0.14410258691485928</c:v>
                  </c:pt>
                  <c:pt idx="63">
                    <c:v>0.10813571719527236</c:v>
                  </c:pt>
                  <c:pt idx="64">
                    <c:v>0.08016649341630536</c:v>
                  </c:pt>
                  <c:pt idx="65">
                    <c:v>0.2291166612109399</c:v>
                  </c:pt>
                  <c:pt idx="66">
                    <c:v>0.17168770097670794</c:v>
                  </c:pt>
                  <c:pt idx="67">
                    <c:v>0.14273518603810273</c:v>
                  </c:pt>
                  <c:pt idx="68">
                    <c:v>0.17421570282587379</c:v>
                  </c:pt>
                  <c:pt idx="69">
                    <c:v>0.09695932709702412</c:v>
                  </c:pt>
                  <c:pt idx="70">
                    <c:v>0.14556022045111294</c:v>
                  </c:pt>
                  <c:pt idx="71">
                    <c:v>0.11659998094149242</c:v>
                  </c:pt>
                  <c:pt idx="72">
                    <c:v>0.1640596097628952</c:v>
                  </c:pt>
                  <c:pt idx="73">
                    <c:v>0.1845836155001653</c:v>
                  </c:pt>
                  <c:pt idx="74">
                    <c:v>0.08221921916436752</c:v>
                  </c:pt>
                  <c:pt idx="75">
                    <c:v>0.11914510294408485</c:v>
                  </c:pt>
                  <c:pt idx="76">
                    <c:v>0.07685484153042844</c:v>
                  </c:pt>
                  <c:pt idx="77">
                    <c:v>0.1204805194027266</c:v>
                  </c:pt>
                  <c:pt idx="78">
                    <c:v>0.10873004286868579</c:v>
                  </c:pt>
                  <c:pt idx="79">
                    <c:v>0.18894149594223866</c:v>
                  </c:pt>
                  <c:pt idx="80">
                    <c:v>0.07660142151277018</c:v>
                  </c:pt>
                  <c:pt idx="81">
                    <c:v>0.1257908316743774</c:v>
                  </c:pt>
                  <c:pt idx="82">
                    <c:v>0.09472767986883826</c:v>
                  </c:pt>
                  <c:pt idx="83">
                    <c:v>0.11100050049937098</c:v>
                  </c:pt>
                  <c:pt idx="84">
                    <c:v>0.07845734863956272</c:v>
                  </c:pt>
                  <c:pt idx="85">
                    <c:v>0.12263767773405615</c:v>
                  </c:pt>
                  <c:pt idx="86">
                    <c:v>0.09442221960723819</c:v>
                  </c:pt>
                  <c:pt idx="87">
                    <c:v>0.120720061851097</c:v>
                  </c:pt>
                  <c:pt idx="88">
                    <c:v>0.06106462878699082</c:v>
                  </c:pt>
                  <c:pt idx="89">
                    <c:v>0.1149154278395786</c:v>
                  </c:pt>
                  <c:pt idx="90">
                    <c:v>0.1860585332033384</c:v>
                  </c:pt>
                  <c:pt idx="91">
                    <c:v>0.07324995259761848</c:v>
                  </c:pt>
                  <c:pt idx="92">
                    <c:v>0.16335374022177515</c:v>
                  </c:pt>
                  <c:pt idx="93">
                    <c:v>0.05696002496881419</c:v>
                  </c:pt>
                  <c:pt idx="94">
                    <c:v>0.053913510984449096</c:v>
                  </c:pt>
                  <c:pt idx="95">
                    <c:v>0.1411893921101842</c:v>
                  </c:pt>
                  <c:pt idx="96">
                    <c:v>0.14283245818479529</c:v>
                  </c:pt>
                  <c:pt idx="97">
                    <c:v>0.0723341013783978</c:v>
                  </c:pt>
                  <c:pt idx="98">
                    <c:v>0.06514940095232184</c:v>
                  </c:pt>
                  <c:pt idx="99">
                    <c:v>0.07303728119565304</c:v>
                  </c:pt>
                  <c:pt idx="100">
                    <c:v>0.11136027618100365</c:v>
                  </c:pt>
                  <c:pt idx="101">
                    <c:v>0.16251153805190852</c:v>
                  </c:pt>
                  <c:pt idx="102">
                    <c:v>0.09237604307032649</c:v>
                  </c:pt>
                  <c:pt idx="103">
                    <c:v>0.06773313648265654</c:v>
                  </c:pt>
                  <c:pt idx="104">
                    <c:v>0.15633297796690762</c:v>
                  </c:pt>
                  <c:pt idx="105">
                    <c:v>0.09393259994983648</c:v>
                  </c:pt>
                  <c:pt idx="106">
                    <c:v>0.05672545969648707</c:v>
                  </c:pt>
                  <c:pt idx="107">
                    <c:v>0.09731963373909186</c:v>
                  </c:pt>
                  <c:pt idx="108">
                    <c:v>0.16910220446687316</c:v>
                  </c:pt>
                  <c:pt idx="109">
                    <c:v>0.10439774369635758</c:v>
                  </c:pt>
                  <c:pt idx="110">
                    <c:v>0.09416887903005539</c:v>
                  </c:pt>
                  <c:pt idx="111">
                    <c:v>0.09243015380997463</c:v>
                  </c:pt>
                  <c:pt idx="112">
                    <c:v>0.1547614652008448</c:v>
                  </c:pt>
                  <c:pt idx="113">
                    <c:v>0.11549410759381258</c:v>
                  </c:pt>
                  <c:pt idx="114">
                    <c:v>0.05055250296034723</c:v>
                  </c:pt>
                  <c:pt idx="115">
                    <c:v>0.14487159065110933</c:v>
                  </c:pt>
                  <c:pt idx="116">
                    <c:v>0.13898441159593555</c:v>
                  </c:pt>
                  <c:pt idx="117">
                    <c:v>0.0648159788255208</c:v>
                  </c:pt>
                  <c:pt idx="118">
                    <c:v>0.1733461533720509</c:v>
                  </c:pt>
                  <c:pt idx="119">
                    <c:v>0.05059644256269409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'Data matrix'!$AK$4:$AK$123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matrix'!$AP$4:$AP$123</c:f>
              <c:numCache>
                <c:ptCount val="120"/>
                <c:pt idx="0">
                  <c:v>3.0769999999999995</c:v>
                </c:pt>
                <c:pt idx="1">
                  <c:v>3.038</c:v>
                </c:pt>
                <c:pt idx="2">
                  <c:v>3.2950000000000004</c:v>
                </c:pt>
                <c:pt idx="3">
                  <c:v>3.2640000000000002</c:v>
                </c:pt>
                <c:pt idx="4">
                  <c:v>2.6279999999999997</c:v>
                </c:pt>
                <c:pt idx="5">
                  <c:v>2.6839999999999997</c:v>
                </c:pt>
                <c:pt idx="6">
                  <c:v>2.4659999999999997</c:v>
                </c:pt>
                <c:pt idx="7">
                  <c:v>3.027</c:v>
                </c:pt>
                <c:pt idx="8">
                  <c:v>2.6079999999999997</c:v>
                </c:pt>
                <c:pt idx="9">
                  <c:v>2.585</c:v>
                </c:pt>
                <c:pt idx="10">
                  <c:v>2.95</c:v>
                </c:pt>
                <c:pt idx="11">
                  <c:v>2.525</c:v>
                </c:pt>
                <c:pt idx="12">
                  <c:v>2.937</c:v>
                </c:pt>
                <c:pt idx="13">
                  <c:v>3.3369999999999997</c:v>
                </c:pt>
                <c:pt idx="14">
                  <c:v>3.4130000000000003</c:v>
                </c:pt>
                <c:pt idx="16">
                  <c:v>3.6420000000000003</c:v>
                </c:pt>
                <c:pt idx="17">
                  <c:v>2.3129999999999997</c:v>
                </c:pt>
                <c:pt idx="18">
                  <c:v>3.536</c:v>
                </c:pt>
                <c:pt idx="19">
                  <c:v>3.2660000000000005</c:v>
                </c:pt>
                <c:pt idx="20">
                  <c:v>3.5589999999999997</c:v>
                </c:pt>
                <c:pt idx="21">
                  <c:v>3.8280000000000003</c:v>
                </c:pt>
                <c:pt idx="22">
                  <c:v>3.192</c:v>
                </c:pt>
                <c:pt idx="23">
                  <c:v>3.464</c:v>
                </c:pt>
                <c:pt idx="24">
                  <c:v>3.232</c:v>
                </c:pt>
                <c:pt idx="25">
                  <c:v>3.393</c:v>
                </c:pt>
                <c:pt idx="26">
                  <c:v>3.529000000000001</c:v>
                </c:pt>
                <c:pt idx="27">
                  <c:v>3.41</c:v>
                </c:pt>
                <c:pt idx="29">
                  <c:v>3.197</c:v>
                </c:pt>
                <c:pt idx="30">
                  <c:v>3.2610000000000006</c:v>
                </c:pt>
                <c:pt idx="31">
                  <c:v>2.953</c:v>
                </c:pt>
                <c:pt idx="32">
                  <c:v>2.466</c:v>
                </c:pt>
                <c:pt idx="34">
                  <c:v>2.572</c:v>
                </c:pt>
                <c:pt idx="35">
                  <c:v>2.3819999999999997</c:v>
                </c:pt>
                <c:pt idx="36">
                  <c:v>3.6029999999999993</c:v>
                </c:pt>
                <c:pt idx="37">
                  <c:v>3.4450000000000003</c:v>
                </c:pt>
                <c:pt idx="38">
                  <c:v>3.3850000000000002</c:v>
                </c:pt>
                <c:pt idx="40">
                  <c:v>3.4270000000000005</c:v>
                </c:pt>
                <c:pt idx="41">
                  <c:v>3.625</c:v>
                </c:pt>
                <c:pt idx="42">
                  <c:v>3.1309999999999993</c:v>
                </c:pt>
                <c:pt idx="43">
                  <c:v>2.7420000000000004</c:v>
                </c:pt>
                <c:pt idx="44">
                  <c:v>3.2689999999999997</c:v>
                </c:pt>
                <c:pt idx="45">
                  <c:v>3.182</c:v>
                </c:pt>
                <c:pt idx="46">
                  <c:v>3.3489999999999993</c:v>
                </c:pt>
                <c:pt idx="47">
                  <c:v>3.3059999999999996</c:v>
                </c:pt>
                <c:pt idx="48">
                  <c:v>3.4880000000000004</c:v>
                </c:pt>
                <c:pt idx="49">
                  <c:v>3.54</c:v>
                </c:pt>
                <c:pt idx="50">
                  <c:v>3.621000000000001</c:v>
                </c:pt>
                <c:pt idx="51">
                  <c:v>3.225</c:v>
                </c:pt>
                <c:pt idx="52">
                  <c:v>2.7150000000000003</c:v>
                </c:pt>
                <c:pt idx="53">
                  <c:v>2.6420000000000003</c:v>
                </c:pt>
                <c:pt idx="54">
                  <c:v>2.673</c:v>
                </c:pt>
                <c:pt idx="55">
                  <c:v>2.6550000000000002</c:v>
                </c:pt>
                <c:pt idx="56">
                  <c:v>2.675</c:v>
                </c:pt>
                <c:pt idx="57">
                  <c:v>2.3529999999999998</c:v>
                </c:pt>
                <c:pt idx="58">
                  <c:v>3.048</c:v>
                </c:pt>
                <c:pt idx="59">
                  <c:v>3.1189999999999998</c:v>
                </c:pt>
                <c:pt idx="60">
                  <c:v>3.461</c:v>
                </c:pt>
                <c:pt idx="61">
                  <c:v>2.452</c:v>
                </c:pt>
                <c:pt idx="62">
                  <c:v>2.741</c:v>
                </c:pt>
                <c:pt idx="63">
                  <c:v>2.6659999999999995</c:v>
                </c:pt>
                <c:pt idx="64">
                  <c:v>2.536</c:v>
                </c:pt>
                <c:pt idx="65">
                  <c:v>2.7549999999999994</c:v>
                </c:pt>
                <c:pt idx="66">
                  <c:v>2.779</c:v>
                </c:pt>
                <c:pt idx="67">
                  <c:v>2.4880000000000004</c:v>
                </c:pt>
                <c:pt idx="68">
                  <c:v>2.678</c:v>
                </c:pt>
                <c:pt idx="69">
                  <c:v>2.7830000000000004</c:v>
                </c:pt>
                <c:pt idx="70">
                  <c:v>2.711</c:v>
                </c:pt>
                <c:pt idx="71">
                  <c:v>2.4219999999999997</c:v>
                </c:pt>
                <c:pt idx="72">
                  <c:v>2.5260000000000002</c:v>
                </c:pt>
                <c:pt idx="73">
                  <c:v>2.744</c:v>
                </c:pt>
                <c:pt idx="74">
                  <c:v>2.536</c:v>
                </c:pt>
                <c:pt idx="75">
                  <c:v>2.612</c:v>
                </c:pt>
                <c:pt idx="76">
                  <c:v>2.5919999999999996</c:v>
                </c:pt>
                <c:pt idx="77">
                  <c:v>3.404000000000001</c:v>
                </c:pt>
                <c:pt idx="78">
                  <c:v>3.3299999999999996</c:v>
                </c:pt>
                <c:pt idx="79">
                  <c:v>3.4509999999999996</c:v>
                </c:pt>
                <c:pt idx="80">
                  <c:v>2.537</c:v>
                </c:pt>
                <c:pt idx="81">
                  <c:v>3.3329999999999997</c:v>
                </c:pt>
                <c:pt idx="82">
                  <c:v>3.268</c:v>
                </c:pt>
                <c:pt idx="83">
                  <c:v>2.629</c:v>
                </c:pt>
                <c:pt idx="84">
                  <c:v>3.37</c:v>
                </c:pt>
                <c:pt idx="85">
                  <c:v>3.7079999999999997</c:v>
                </c:pt>
                <c:pt idx="86">
                  <c:v>2.554</c:v>
                </c:pt>
                <c:pt idx="87">
                  <c:v>2.702</c:v>
                </c:pt>
                <c:pt idx="88">
                  <c:v>3.0619999999999994</c:v>
                </c:pt>
                <c:pt idx="89">
                  <c:v>3.3050000000000006</c:v>
                </c:pt>
                <c:pt idx="90">
                  <c:v>2.682</c:v>
                </c:pt>
                <c:pt idx="91">
                  <c:v>3.019</c:v>
                </c:pt>
                <c:pt idx="92">
                  <c:v>3.3920000000000003</c:v>
                </c:pt>
                <c:pt idx="93">
                  <c:v>2.9899999999999998</c:v>
                </c:pt>
                <c:pt idx="94">
                  <c:v>2.5579999999999994</c:v>
                </c:pt>
                <c:pt idx="95">
                  <c:v>2.7370000000000005</c:v>
                </c:pt>
                <c:pt idx="96">
                  <c:v>2.603</c:v>
                </c:pt>
                <c:pt idx="97">
                  <c:v>3.3590000000000004</c:v>
                </c:pt>
                <c:pt idx="98">
                  <c:v>3.29</c:v>
                </c:pt>
                <c:pt idx="99">
                  <c:v>3.222999999999999</c:v>
                </c:pt>
                <c:pt idx="100">
                  <c:v>3.7630000000000003</c:v>
                </c:pt>
                <c:pt idx="101">
                  <c:v>3.181</c:v>
                </c:pt>
                <c:pt idx="102">
                  <c:v>2.8300000000000005</c:v>
                </c:pt>
                <c:pt idx="103">
                  <c:v>2.881</c:v>
                </c:pt>
                <c:pt idx="104">
                  <c:v>3.6719999999999997</c:v>
                </c:pt>
                <c:pt idx="105">
                  <c:v>3.707</c:v>
                </c:pt>
                <c:pt idx="106">
                  <c:v>3.402</c:v>
                </c:pt>
                <c:pt idx="107">
                  <c:v>2.9939999999999998</c:v>
                </c:pt>
                <c:pt idx="108">
                  <c:v>2.558</c:v>
                </c:pt>
                <c:pt idx="109">
                  <c:v>3.0809999999999995</c:v>
                </c:pt>
                <c:pt idx="110">
                  <c:v>3.467</c:v>
                </c:pt>
                <c:pt idx="111">
                  <c:v>2.4509999999999996</c:v>
                </c:pt>
                <c:pt idx="112">
                  <c:v>3.6079999999999997</c:v>
                </c:pt>
                <c:pt idx="113">
                  <c:v>3.175</c:v>
                </c:pt>
                <c:pt idx="114">
                  <c:v>2.38</c:v>
                </c:pt>
                <c:pt idx="115">
                  <c:v>3.3409999999999997</c:v>
                </c:pt>
                <c:pt idx="116">
                  <c:v>2.5549999999999997</c:v>
                </c:pt>
                <c:pt idx="117">
                  <c:v>2.713</c:v>
                </c:pt>
                <c:pt idx="118">
                  <c:v>3.214</c:v>
                </c:pt>
                <c:pt idx="119">
                  <c:v>3.126</c:v>
                </c:pt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Widht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Paddy grain lenght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25"/>
          <c:w val="0.985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'Data matrix'!$AO$4:$AO$123</c:f>
                <c:numCache>
                  <c:ptCount val="120"/>
                  <c:pt idx="0">
                    <c:v>0.3220921193281758</c:v>
                  </c:pt>
                  <c:pt idx="1">
                    <c:v>0.32860141340058807</c:v>
                  </c:pt>
                  <c:pt idx="2">
                    <c:v>0.4405350282453503</c:v>
                  </c:pt>
                  <c:pt idx="3">
                    <c:v>0.36033934623413116</c:v>
                  </c:pt>
                  <c:pt idx="4">
                    <c:v>0.6189273875917078</c:v>
                  </c:pt>
                  <c:pt idx="5">
                    <c:v>0.4439919919197665</c:v>
                  </c:pt>
                  <c:pt idx="6">
                    <c:v>0.439217738965752</c:v>
                  </c:pt>
                  <c:pt idx="7">
                    <c:v>0.44721856451234077</c:v>
                  </c:pt>
                  <c:pt idx="8">
                    <c:v>0.4934335483797327</c:v>
                  </c:pt>
                  <c:pt idx="9">
                    <c:v>0.8315153502959004</c:v>
                  </c:pt>
                  <c:pt idx="10">
                    <c:v>0.021213203435595972</c:v>
                  </c:pt>
                  <c:pt idx="11">
                    <c:v>0.39539010272560304</c:v>
                  </c:pt>
                  <c:pt idx="12">
                    <c:v>0.44572163709851037</c:v>
                  </c:pt>
                  <c:pt idx="13">
                    <c:v>0.5481169785932535</c:v>
                  </c:pt>
                  <c:pt idx="14">
                    <c:v>0.43015371929369617</c:v>
                  </c:pt>
                  <c:pt idx="15">
                    <c:v>NaN</c:v>
                  </c:pt>
                  <c:pt idx="16">
                    <c:v>0.32894443975306314</c:v>
                  </c:pt>
                  <c:pt idx="17">
                    <c:v>0.49788999231198633</c:v>
                  </c:pt>
                  <c:pt idx="18">
                    <c:v>0.25721586265237595</c:v>
                  </c:pt>
                  <c:pt idx="19">
                    <c:v>0.4764230146507328</c:v>
                  </c:pt>
                  <c:pt idx="20">
                    <c:v>0.32858112477067897</c:v>
                  </c:pt>
                  <c:pt idx="21">
                    <c:v>0.20032196307171626</c:v>
                  </c:pt>
                  <c:pt idx="22">
                    <c:v>0.23332380932943728</c:v>
                  </c:pt>
                  <c:pt idx="23">
                    <c:v>0.19760791707037365</c:v>
                  </c:pt>
                  <c:pt idx="24">
                    <c:v>0.32505725991307743</c:v>
                  </c:pt>
                  <c:pt idx="25">
                    <c:v>0.27745069632081026</c:v>
                  </c:pt>
                  <c:pt idx="26">
                    <c:v>0.358081306719887</c:v>
                  </c:pt>
                  <c:pt idx="27">
                    <c:v>0.26403703443937665</c:v>
                  </c:pt>
                  <c:pt idx="28">
                    <c:v>NaN</c:v>
                  </c:pt>
                  <c:pt idx="29">
                    <c:v>0.29400680264243223</c:v>
                  </c:pt>
                  <c:pt idx="30">
                    <c:v>0.24842615714848854</c:v>
                  </c:pt>
                  <c:pt idx="31">
                    <c:v>0.27683930356792247</c:v>
                  </c:pt>
                  <c:pt idx="32">
                    <c:v>0.45481253769488866</c:v>
                  </c:pt>
                  <c:pt idx="33">
                    <c:v>NaN</c:v>
                  </c:pt>
                  <c:pt idx="34">
                    <c:v>0.394270071003228</c:v>
                  </c:pt>
                  <c:pt idx="35">
                    <c:v>0.37253486041208483</c:v>
                  </c:pt>
                  <c:pt idx="36">
                    <c:v>0.3875908495652058</c:v>
                  </c:pt>
                  <c:pt idx="37">
                    <c:v>0.3697686964696958</c:v>
                  </c:pt>
                  <c:pt idx="38">
                    <c:v>0.6344735350404258</c:v>
                  </c:pt>
                  <c:pt idx="39">
                    <c:v>NaN</c:v>
                  </c:pt>
                  <c:pt idx="40">
                    <c:v>0.1902308539058954</c:v>
                  </c:pt>
                  <c:pt idx="41">
                    <c:v>0.35128494290405576</c:v>
                  </c:pt>
                  <c:pt idx="42">
                    <c:v>0.48664840148373967</c:v>
                  </c:pt>
                  <c:pt idx="43">
                    <c:v>0.40832448970011354</c:v>
                  </c:pt>
                  <c:pt idx="44">
                    <c:v>0.3290457583849382</c:v>
                  </c:pt>
                  <c:pt idx="45">
                    <c:v>0.3903972335967318</c:v>
                  </c:pt>
                  <c:pt idx="46">
                    <c:v>0.4503529480061117</c:v>
                  </c:pt>
                  <c:pt idx="47">
                    <c:v>0.34795433927776054</c:v>
                  </c:pt>
                  <c:pt idx="48">
                    <c:v>0.3197029871615232</c:v>
                  </c:pt>
                  <c:pt idx="49">
                    <c:v>0.3035365619565963</c:v>
                  </c:pt>
                  <c:pt idx="50">
                    <c:v>0.3556277704442328</c:v>
                  </c:pt>
                  <c:pt idx="51">
                    <c:v>0.5457879115961255</c:v>
                  </c:pt>
                  <c:pt idx="52">
                    <c:v>0.8299103030515317</c:v>
                  </c:pt>
                  <c:pt idx="53">
                    <c:v>0.5854770134969417</c:v>
                  </c:pt>
                  <c:pt idx="54">
                    <c:v>0.6114654528262602</c:v>
                  </c:pt>
                  <c:pt idx="55">
                    <c:v>0.6667466618672491</c:v>
                  </c:pt>
                  <c:pt idx="56">
                    <c:v>0.6867548487067704</c:v>
                  </c:pt>
                  <c:pt idx="57">
                    <c:v>0.4484157297270824</c:v>
                  </c:pt>
                  <c:pt idx="58">
                    <c:v>0.44977648770131173</c:v>
                  </c:pt>
                  <c:pt idx="59">
                    <c:v>0.21909155873999975</c:v>
                  </c:pt>
                  <c:pt idx="60">
                    <c:v>0.23420076857263492</c:v>
                  </c:pt>
                  <c:pt idx="61">
                    <c:v>0.4561481240903182</c:v>
                  </c:pt>
                  <c:pt idx="62">
                    <c:v>0.44101398314947055</c:v>
                  </c:pt>
                  <c:pt idx="63">
                    <c:v>0.5069308521769785</c:v>
                  </c:pt>
                  <c:pt idx="64">
                    <c:v>0.3747132236791219</c:v>
                  </c:pt>
                  <c:pt idx="65">
                    <c:v>0.4891727711146598</c:v>
                  </c:pt>
                  <c:pt idx="66">
                    <c:v>0.7180560176229176</c:v>
                  </c:pt>
                  <c:pt idx="67">
                    <c:v>0.4138169214090118</c:v>
                  </c:pt>
                  <c:pt idx="68">
                    <c:v>0.307045056411332</c:v>
                  </c:pt>
                  <c:pt idx="69">
                    <c:v>0.25540599488313953</c:v>
                  </c:pt>
                  <c:pt idx="70">
                    <c:v>0.5533584331656279</c:v>
                  </c:pt>
                  <c:pt idx="71">
                    <c:v>0.5368591787217526</c:v>
                  </c:pt>
                  <c:pt idx="72">
                    <c:v>0.4616347762752267</c:v>
                  </c:pt>
                  <c:pt idx="73">
                    <c:v>0.48221249350142664</c:v>
                  </c:pt>
                  <c:pt idx="74">
                    <c:v>0.2642999138185312</c:v>
                  </c:pt>
                  <c:pt idx="75">
                    <c:v>0.5918943223995748</c:v>
                  </c:pt>
                  <c:pt idx="76">
                    <c:v>0.42463709996492954</c:v>
                  </c:pt>
                  <c:pt idx="77">
                    <c:v>0.1751348686647759</c:v>
                  </c:pt>
                  <c:pt idx="78">
                    <c:v>0.3100465914808336</c:v>
                  </c:pt>
                  <c:pt idx="79">
                    <c:v>0.508680209518287</c:v>
                  </c:pt>
                  <c:pt idx="80">
                    <c:v>0.43803728912804246</c:v>
                  </c:pt>
                  <c:pt idx="81">
                    <c:v>0.36064756572956097</c:v>
                  </c:pt>
                  <c:pt idx="82">
                    <c:v>0.3650281572092143</c:v>
                  </c:pt>
                  <c:pt idx="83">
                    <c:v>1.2129307940320164</c:v>
                  </c:pt>
                  <c:pt idx="84">
                    <c:v>0.5639700543665643</c:v>
                  </c:pt>
                  <c:pt idx="85">
                    <c:v>0.44580140072558905</c:v>
                  </c:pt>
                  <c:pt idx="86">
                    <c:v>0.44856437665064786</c:v>
                  </c:pt>
                  <c:pt idx="87">
                    <c:v>0.5487369335320871</c:v>
                  </c:pt>
                  <c:pt idx="88">
                    <c:v>0.19507548396571223</c:v>
                  </c:pt>
                  <c:pt idx="89">
                    <c:v>0.22301220694045085</c:v>
                  </c:pt>
                  <c:pt idx="90">
                    <c:v>0.42745889990864994</c:v>
                  </c:pt>
                  <c:pt idx="91">
                    <c:v>0.22612926490049912</c:v>
                  </c:pt>
                  <c:pt idx="92">
                    <c:v>0.1447756885669479</c:v>
                  </c:pt>
                  <c:pt idx="93">
                    <c:v>0.1981834167297123</c:v>
                  </c:pt>
                  <c:pt idx="94">
                    <c:v>0.39530016724287115</c:v>
                  </c:pt>
                  <c:pt idx="95">
                    <c:v>0.3273615059159185</c:v>
                  </c:pt>
                  <c:pt idx="96">
                    <c:v>0.5085098054337108</c:v>
                  </c:pt>
                  <c:pt idx="97">
                    <c:v>0.32897990482369405</c:v>
                  </c:pt>
                  <c:pt idx="98">
                    <c:v>0.23501536592788458</c:v>
                  </c:pt>
                  <c:pt idx="99">
                    <c:v>0.3994106769841315</c:v>
                  </c:pt>
                  <c:pt idx="100">
                    <c:v>0.21894697480845102</c:v>
                  </c:pt>
                  <c:pt idx="101">
                    <c:v>0.3050610139336111</c:v>
                  </c:pt>
                  <c:pt idx="102">
                    <c:v>0.4193659234818409</c:v>
                  </c:pt>
                  <c:pt idx="103">
                    <c:v>0.2749626237226466</c:v>
                  </c:pt>
                  <c:pt idx="104">
                    <c:v>0.3823044162270384</c:v>
                  </c:pt>
                  <c:pt idx="105">
                    <c:v>0.2999796289380163</c:v>
                  </c:pt>
                  <c:pt idx="106">
                    <c:v>0.17974055376201775</c:v>
                  </c:pt>
                  <c:pt idx="107">
                    <c:v>0.3740543632504157</c:v>
                  </c:pt>
                  <c:pt idx="108">
                    <c:v>0.4333192305397863</c:v>
                  </c:pt>
                  <c:pt idx="109">
                    <c:v>0.2831881981219958</c:v>
                  </c:pt>
                  <c:pt idx="110">
                    <c:v>0.36430146246697837</c:v>
                  </c:pt>
                  <c:pt idx="111">
                    <c:v>0.2960123871282083</c:v>
                  </c:pt>
                  <c:pt idx="112">
                    <c:v>0.5908374470942813</c:v>
                  </c:pt>
                  <c:pt idx="113">
                    <c:v>0.5045614157089542</c:v>
                  </c:pt>
                  <c:pt idx="114">
                    <c:v>0.20073199379608664</c:v>
                  </c:pt>
                  <c:pt idx="115">
                    <c:v>0.4169678911165789</c:v>
                  </c:pt>
                  <c:pt idx="116">
                    <c:v>0.36508142166432767</c:v>
                  </c:pt>
                  <c:pt idx="117">
                    <c:v>0.40351924090158825</c:v>
                  </c:pt>
                  <c:pt idx="118">
                    <c:v>0.29257667561022876</c:v>
                  </c:pt>
                  <c:pt idx="119">
                    <c:v>0.47699173065275446</c:v>
                  </c:pt>
                </c:numCache>
              </c:numRef>
            </c:plus>
            <c:minus>
              <c:numRef>
                <c:f>'Data matrix'!$AO$4:$AO$123</c:f>
                <c:numCache>
                  <c:ptCount val="120"/>
                  <c:pt idx="0">
                    <c:v>0.3220921193281758</c:v>
                  </c:pt>
                  <c:pt idx="1">
                    <c:v>0.32860141340058807</c:v>
                  </c:pt>
                  <c:pt idx="2">
                    <c:v>0.4405350282453503</c:v>
                  </c:pt>
                  <c:pt idx="3">
                    <c:v>0.36033934623413116</c:v>
                  </c:pt>
                  <c:pt idx="4">
                    <c:v>0.6189273875917078</c:v>
                  </c:pt>
                  <c:pt idx="5">
                    <c:v>0.4439919919197665</c:v>
                  </c:pt>
                  <c:pt idx="6">
                    <c:v>0.439217738965752</c:v>
                  </c:pt>
                  <c:pt idx="7">
                    <c:v>0.44721856451234077</c:v>
                  </c:pt>
                  <c:pt idx="8">
                    <c:v>0.4934335483797327</c:v>
                  </c:pt>
                  <c:pt idx="9">
                    <c:v>0.8315153502959004</c:v>
                  </c:pt>
                  <c:pt idx="10">
                    <c:v>0.021213203435595972</c:v>
                  </c:pt>
                  <c:pt idx="11">
                    <c:v>0.39539010272560304</c:v>
                  </c:pt>
                  <c:pt idx="12">
                    <c:v>0.44572163709851037</c:v>
                  </c:pt>
                  <c:pt idx="13">
                    <c:v>0.5481169785932535</c:v>
                  </c:pt>
                  <c:pt idx="14">
                    <c:v>0.43015371929369617</c:v>
                  </c:pt>
                  <c:pt idx="15">
                    <c:v>NaN</c:v>
                  </c:pt>
                  <c:pt idx="16">
                    <c:v>0.32894443975306314</c:v>
                  </c:pt>
                  <c:pt idx="17">
                    <c:v>0.49788999231198633</c:v>
                  </c:pt>
                  <c:pt idx="18">
                    <c:v>0.25721586265237595</c:v>
                  </c:pt>
                  <c:pt idx="19">
                    <c:v>0.4764230146507328</c:v>
                  </c:pt>
                  <c:pt idx="20">
                    <c:v>0.32858112477067897</c:v>
                  </c:pt>
                  <c:pt idx="21">
                    <c:v>0.20032196307171626</c:v>
                  </c:pt>
                  <c:pt idx="22">
                    <c:v>0.23332380932943728</c:v>
                  </c:pt>
                  <c:pt idx="23">
                    <c:v>0.19760791707037365</c:v>
                  </c:pt>
                  <c:pt idx="24">
                    <c:v>0.32505725991307743</c:v>
                  </c:pt>
                  <c:pt idx="25">
                    <c:v>0.27745069632081026</c:v>
                  </c:pt>
                  <c:pt idx="26">
                    <c:v>0.358081306719887</c:v>
                  </c:pt>
                  <c:pt idx="27">
                    <c:v>0.26403703443937665</c:v>
                  </c:pt>
                  <c:pt idx="28">
                    <c:v>NaN</c:v>
                  </c:pt>
                  <c:pt idx="29">
                    <c:v>0.29400680264243223</c:v>
                  </c:pt>
                  <c:pt idx="30">
                    <c:v>0.24842615714848854</c:v>
                  </c:pt>
                  <c:pt idx="31">
                    <c:v>0.27683930356792247</c:v>
                  </c:pt>
                  <c:pt idx="32">
                    <c:v>0.45481253769488866</c:v>
                  </c:pt>
                  <c:pt idx="33">
                    <c:v>NaN</c:v>
                  </c:pt>
                  <c:pt idx="34">
                    <c:v>0.394270071003228</c:v>
                  </c:pt>
                  <c:pt idx="35">
                    <c:v>0.37253486041208483</c:v>
                  </c:pt>
                  <c:pt idx="36">
                    <c:v>0.3875908495652058</c:v>
                  </c:pt>
                  <c:pt idx="37">
                    <c:v>0.3697686964696958</c:v>
                  </c:pt>
                  <c:pt idx="38">
                    <c:v>0.6344735350404258</c:v>
                  </c:pt>
                  <c:pt idx="39">
                    <c:v>NaN</c:v>
                  </c:pt>
                  <c:pt idx="40">
                    <c:v>0.1902308539058954</c:v>
                  </c:pt>
                  <c:pt idx="41">
                    <c:v>0.35128494290405576</c:v>
                  </c:pt>
                  <c:pt idx="42">
                    <c:v>0.48664840148373967</c:v>
                  </c:pt>
                  <c:pt idx="43">
                    <c:v>0.40832448970011354</c:v>
                  </c:pt>
                  <c:pt idx="44">
                    <c:v>0.3290457583849382</c:v>
                  </c:pt>
                  <c:pt idx="45">
                    <c:v>0.3903972335967318</c:v>
                  </c:pt>
                  <c:pt idx="46">
                    <c:v>0.4503529480061117</c:v>
                  </c:pt>
                  <c:pt idx="47">
                    <c:v>0.34795433927776054</c:v>
                  </c:pt>
                  <c:pt idx="48">
                    <c:v>0.3197029871615232</c:v>
                  </c:pt>
                  <c:pt idx="49">
                    <c:v>0.3035365619565963</c:v>
                  </c:pt>
                  <c:pt idx="50">
                    <c:v>0.3556277704442328</c:v>
                  </c:pt>
                  <c:pt idx="51">
                    <c:v>0.5457879115961255</c:v>
                  </c:pt>
                  <c:pt idx="52">
                    <c:v>0.8299103030515317</c:v>
                  </c:pt>
                  <c:pt idx="53">
                    <c:v>0.5854770134969417</c:v>
                  </c:pt>
                  <c:pt idx="54">
                    <c:v>0.6114654528262602</c:v>
                  </c:pt>
                  <c:pt idx="55">
                    <c:v>0.6667466618672491</c:v>
                  </c:pt>
                  <c:pt idx="56">
                    <c:v>0.6867548487067704</c:v>
                  </c:pt>
                  <c:pt idx="57">
                    <c:v>0.4484157297270824</c:v>
                  </c:pt>
                  <c:pt idx="58">
                    <c:v>0.44977648770131173</c:v>
                  </c:pt>
                  <c:pt idx="59">
                    <c:v>0.21909155873999975</c:v>
                  </c:pt>
                  <c:pt idx="60">
                    <c:v>0.23420076857263492</c:v>
                  </c:pt>
                  <c:pt idx="61">
                    <c:v>0.4561481240903182</c:v>
                  </c:pt>
                  <c:pt idx="62">
                    <c:v>0.44101398314947055</c:v>
                  </c:pt>
                  <c:pt idx="63">
                    <c:v>0.5069308521769785</c:v>
                  </c:pt>
                  <c:pt idx="64">
                    <c:v>0.3747132236791219</c:v>
                  </c:pt>
                  <c:pt idx="65">
                    <c:v>0.4891727711146598</c:v>
                  </c:pt>
                  <c:pt idx="66">
                    <c:v>0.7180560176229176</c:v>
                  </c:pt>
                  <c:pt idx="67">
                    <c:v>0.4138169214090118</c:v>
                  </c:pt>
                  <c:pt idx="68">
                    <c:v>0.307045056411332</c:v>
                  </c:pt>
                  <c:pt idx="69">
                    <c:v>0.25540599488313953</c:v>
                  </c:pt>
                  <c:pt idx="70">
                    <c:v>0.5533584331656279</c:v>
                  </c:pt>
                  <c:pt idx="71">
                    <c:v>0.5368591787217526</c:v>
                  </c:pt>
                  <c:pt idx="72">
                    <c:v>0.4616347762752267</c:v>
                  </c:pt>
                  <c:pt idx="73">
                    <c:v>0.48221249350142664</c:v>
                  </c:pt>
                  <c:pt idx="74">
                    <c:v>0.2642999138185312</c:v>
                  </c:pt>
                  <c:pt idx="75">
                    <c:v>0.5918943223995748</c:v>
                  </c:pt>
                  <c:pt idx="76">
                    <c:v>0.42463709996492954</c:v>
                  </c:pt>
                  <c:pt idx="77">
                    <c:v>0.1751348686647759</c:v>
                  </c:pt>
                  <c:pt idx="78">
                    <c:v>0.3100465914808336</c:v>
                  </c:pt>
                  <c:pt idx="79">
                    <c:v>0.508680209518287</c:v>
                  </c:pt>
                  <c:pt idx="80">
                    <c:v>0.43803728912804246</c:v>
                  </c:pt>
                  <c:pt idx="81">
                    <c:v>0.36064756572956097</c:v>
                  </c:pt>
                  <c:pt idx="82">
                    <c:v>0.3650281572092143</c:v>
                  </c:pt>
                  <c:pt idx="83">
                    <c:v>1.2129307940320164</c:v>
                  </c:pt>
                  <c:pt idx="84">
                    <c:v>0.5639700543665643</c:v>
                  </c:pt>
                  <c:pt idx="85">
                    <c:v>0.44580140072558905</c:v>
                  </c:pt>
                  <c:pt idx="86">
                    <c:v>0.44856437665064786</c:v>
                  </c:pt>
                  <c:pt idx="87">
                    <c:v>0.5487369335320871</c:v>
                  </c:pt>
                  <c:pt idx="88">
                    <c:v>0.19507548396571223</c:v>
                  </c:pt>
                  <c:pt idx="89">
                    <c:v>0.22301220694045085</c:v>
                  </c:pt>
                  <c:pt idx="90">
                    <c:v>0.42745889990864994</c:v>
                  </c:pt>
                  <c:pt idx="91">
                    <c:v>0.22612926490049912</c:v>
                  </c:pt>
                  <c:pt idx="92">
                    <c:v>0.1447756885669479</c:v>
                  </c:pt>
                  <c:pt idx="93">
                    <c:v>0.1981834167297123</c:v>
                  </c:pt>
                  <c:pt idx="94">
                    <c:v>0.39530016724287115</c:v>
                  </c:pt>
                  <c:pt idx="95">
                    <c:v>0.3273615059159185</c:v>
                  </c:pt>
                  <c:pt idx="96">
                    <c:v>0.5085098054337108</c:v>
                  </c:pt>
                  <c:pt idx="97">
                    <c:v>0.32897990482369405</c:v>
                  </c:pt>
                  <c:pt idx="98">
                    <c:v>0.23501536592788458</c:v>
                  </c:pt>
                  <c:pt idx="99">
                    <c:v>0.3994106769841315</c:v>
                  </c:pt>
                  <c:pt idx="100">
                    <c:v>0.21894697480845102</c:v>
                  </c:pt>
                  <c:pt idx="101">
                    <c:v>0.3050610139336111</c:v>
                  </c:pt>
                  <c:pt idx="102">
                    <c:v>0.4193659234818409</c:v>
                  </c:pt>
                  <c:pt idx="103">
                    <c:v>0.2749626237226466</c:v>
                  </c:pt>
                  <c:pt idx="104">
                    <c:v>0.3823044162270384</c:v>
                  </c:pt>
                  <c:pt idx="105">
                    <c:v>0.2999796289380163</c:v>
                  </c:pt>
                  <c:pt idx="106">
                    <c:v>0.17974055376201775</c:v>
                  </c:pt>
                  <c:pt idx="107">
                    <c:v>0.3740543632504157</c:v>
                  </c:pt>
                  <c:pt idx="108">
                    <c:v>0.4333192305397863</c:v>
                  </c:pt>
                  <c:pt idx="109">
                    <c:v>0.2831881981219958</c:v>
                  </c:pt>
                  <c:pt idx="110">
                    <c:v>0.36430146246697837</c:v>
                  </c:pt>
                  <c:pt idx="111">
                    <c:v>0.2960123871282083</c:v>
                  </c:pt>
                  <c:pt idx="112">
                    <c:v>0.5908374470942813</c:v>
                  </c:pt>
                  <c:pt idx="113">
                    <c:v>0.5045614157089542</c:v>
                  </c:pt>
                  <c:pt idx="114">
                    <c:v>0.20073199379608664</c:v>
                  </c:pt>
                  <c:pt idx="115">
                    <c:v>0.4169678911165789</c:v>
                  </c:pt>
                  <c:pt idx="116">
                    <c:v>0.36508142166432767</c:v>
                  </c:pt>
                  <c:pt idx="117">
                    <c:v>0.40351924090158825</c:v>
                  </c:pt>
                  <c:pt idx="118">
                    <c:v>0.29257667561022876</c:v>
                  </c:pt>
                  <c:pt idx="119">
                    <c:v>0.47699173065275446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'Data matrix'!$AK$4:$AK$123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matrix'!$AN$4:$AN$123</c:f>
              <c:numCache>
                <c:ptCount val="120"/>
                <c:pt idx="0">
                  <c:v>9.121</c:v>
                </c:pt>
                <c:pt idx="1">
                  <c:v>8.947000000000001</c:v>
                </c:pt>
                <c:pt idx="2">
                  <c:v>8.596</c:v>
                </c:pt>
                <c:pt idx="3">
                  <c:v>6.67</c:v>
                </c:pt>
                <c:pt idx="4">
                  <c:v>9.176</c:v>
                </c:pt>
                <c:pt idx="5">
                  <c:v>9.212</c:v>
                </c:pt>
                <c:pt idx="6">
                  <c:v>8.673000000000002</c:v>
                </c:pt>
                <c:pt idx="7">
                  <c:v>9.893999999999998</c:v>
                </c:pt>
                <c:pt idx="8">
                  <c:v>10.201000000000002</c:v>
                </c:pt>
                <c:pt idx="9">
                  <c:v>9.052000000000003</c:v>
                </c:pt>
                <c:pt idx="10">
                  <c:v>9.495000000000001</c:v>
                </c:pt>
                <c:pt idx="11">
                  <c:v>9.149999999999999</c:v>
                </c:pt>
                <c:pt idx="12">
                  <c:v>9.657</c:v>
                </c:pt>
                <c:pt idx="13">
                  <c:v>10.211</c:v>
                </c:pt>
                <c:pt idx="14">
                  <c:v>8.251000000000001</c:v>
                </c:pt>
                <c:pt idx="16">
                  <c:v>8.175999999999998</c:v>
                </c:pt>
                <c:pt idx="17">
                  <c:v>9.555000000000001</c:v>
                </c:pt>
                <c:pt idx="18">
                  <c:v>8.216</c:v>
                </c:pt>
                <c:pt idx="19">
                  <c:v>7.462999999999999</c:v>
                </c:pt>
                <c:pt idx="20">
                  <c:v>7.441</c:v>
                </c:pt>
                <c:pt idx="21">
                  <c:v>7.202</c:v>
                </c:pt>
                <c:pt idx="22">
                  <c:v>7.662000000000001</c:v>
                </c:pt>
                <c:pt idx="23">
                  <c:v>6.874</c:v>
                </c:pt>
                <c:pt idx="24">
                  <c:v>7.108000000000001</c:v>
                </c:pt>
                <c:pt idx="25">
                  <c:v>7.377</c:v>
                </c:pt>
                <c:pt idx="26">
                  <c:v>7.94</c:v>
                </c:pt>
                <c:pt idx="27">
                  <c:v>8.056000000000001</c:v>
                </c:pt>
                <c:pt idx="29">
                  <c:v>9.102</c:v>
                </c:pt>
                <c:pt idx="30">
                  <c:v>7.946</c:v>
                </c:pt>
                <c:pt idx="31">
                  <c:v>8.738000000000001</c:v>
                </c:pt>
                <c:pt idx="32">
                  <c:v>8.921</c:v>
                </c:pt>
                <c:pt idx="34">
                  <c:v>8.553999999999998</c:v>
                </c:pt>
                <c:pt idx="35">
                  <c:v>9.245999999999999</c:v>
                </c:pt>
                <c:pt idx="36">
                  <c:v>7.234</c:v>
                </c:pt>
                <c:pt idx="37">
                  <c:v>8.168</c:v>
                </c:pt>
                <c:pt idx="38">
                  <c:v>12.062999999999999</c:v>
                </c:pt>
                <c:pt idx="40">
                  <c:v>8.271</c:v>
                </c:pt>
                <c:pt idx="41">
                  <c:v>8.983</c:v>
                </c:pt>
                <c:pt idx="42">
                  <c:v>9.014</c:v>
                </c:pt>
                <c:pt idx="43">
                  <c:v>10.228000000000002</c:v>
                </c:pt>
                <c:pt idx="44">
                  <c:v>9.216</c:v>
                </c:pt>
                <c:pt idx="45">
                  <c:v>7.571000000000001</c:v>
                </c:pt>
                <c:pt idx="46">
                  <c:v>8.088</c:v>
                </c:pt>
                <c:pt idx="47">
                  <c:v>9.155</c:v>
                </c:pt>
                <c:pt idx="48">
                  <c:v>7.279000000000001</c:v>
                </c:pt>
                <c:pt idx="49">
                  <c:v>9.453</c:v>
                </c:pt>
                <c:pt idx="50">
                  <c:v>8.983999999999998</c:v>
                </c:pt>
                <c:pt idx="51">
                  <c:v>10.621999999999998</c:v>
                </c:pt>
                <c:pt idx="52">
                  <c:v>11.618000000000002</c:v>
                </c:pt>
                <c:pt idx="53">
                  <c:v>10.365000000000002</c:v>
                </c:pt>
                <c:pt idx="54">
                  <c:v>10.316999999999998</c:v>
                </c:pt>
                <c:pt idx="55">
                  <c:v>10.428</c:v>
                </c:pt>
                <c:pt idx="56">
                  <c:v>9.578999999999999</c:v>
                </c:pt>
                <c:pt idx="57">
                  <c:v>9.109</c:v>
                </c:pt>
                <c:pt idx="58">
                  <c:v>8.988999999999999</c:v>
                </c:pt>
                <c:pt idx="59">
                  <c:v>8.387</c:v>
                </c:pt>
                <c:pt idx="60">
                  <c:v>7.484999999999999</c:v>
                </c:pt>
                <c:pt idx="61">
                  <c:v>9.644</c:v>
                </c:pt>
                <c:pt idx="62">
                  <c:v>9.645999999999999</c:v>
                </c:pt>
                <c:pt idx="63">
                  <c:v>8.853</c:v>
                </c:pt>
                <c:pt idx="64">
                  <c:v>8.131</c:v>
                </c:pt>
                <c:pt idx="65">
                  <c:v>8.987</c:v>
                </c:pt>
                <c:pt idx="66">
                  <c:v>10.243999999999998</c:v>
                </c:pt>
                <c:pt idx="67">
                  <c:v>9.32</c:v>
                </c:pt>
                <c:pt idx="68">
                  <c:v>8.961000000000002</c:v>
                </c:pt>
                <c:pt idx="69">
                  <c:v>9.049</c:v>
                </c:pt>
                <c:pt idx="70">
                  <c:v>9.395000000000001</c:v>
                </c:pt>
                <c:pt idx="71">
                  <c:v>9.732</c:v>
                </c:pt>
                <c:pt idx="72">
                  <c:v>9.702</c:v>
                </c:pt>
                <c:pt idx="73">
                  <c:v>9.968000000000002</c:v>
                </c:pt>
                <c:pt idx="74">
                  <c:v>9.548999999999998</c:v>
                </c:pt>
                <c:pt idx="75">
                  <c:v>9.365000000000002</c:v>
                </c:pt>
                <c:pt idx="76">
                  <c:v>8.855</c:v>
                </c:pt>
                <c:pt idx="77">
                  <c:v>8.475</c:v>
                </c:pt>
                <c:pt idx="78">
                  <c:v>8.418000000000001</c:v>
                </c:pt>
                <c:pt idx="79">
                  <c:v>8.219999999999999</c:v>
                </c:pt>
                <c:pt idx="80">
                  <c:v>9.129000000000001</c:v>
                </c:pt>
                <c:pt idx="81">
                  <c:v>8.91</c:v>
                </c:pt>
                <c:pt idx="82">
                  <c:v>7.837000000000001</c:v>
                </c:pt>
                <c:pt idx="83">
                  <c:v>9.933</c:v>
                </c:pt>
                <c:pt idx="84">
                  <c:v>7.192</c:v>
                </c:pt>
                <c:pt idx="85">
                  <c:v>7.845000000000001</c:v>
                </c:pt>
                <c:pt idx="86">
                  <c:v>9.761</c:v>
                </c:pt>
                <c:pt idx="87">
                  <c:v>9.007000000000001</c:v>
                </c:pt>
                <c:pt idx="88">
                  <c:v>9.190999999999999</c:v>
                </c:pt>
                <c:pt idx="89">
                  <c:v>8.722999999999999</c:v>
                </c:pt>
                <c:pt idx="90">
                  <c:v>9.989</c:v>
                </c:pt>
                <c:pt idx="91">
                  <c:v>8.927000000000001</c:v>
                </c:pt>
                <c:pt idx="92">
                  <c:v>7.653999999999999</c:v>
                </c:pt>
                <c:pt idx="93">
                  <c:v>7.661</c:v>
                </c:pt>
                <c:pt idx="94">
                  <c:v>10.187999999999999</c:v>
                </c:pt>
                <c:pt idx="95">
                  <c:v>9.389000000000001</c:v>
                </c:pt>
                <c:pt idx="96">
                  <c:v>9.786</c:v>
                </c:pt>
                <c:pt idx="97">
                  <c:v>9.395</c:v>
                </c:pt>
                <c:pt idx="98">
                  <c:v>7.9590000000000005</c:v>
                </c:pt>
                <c:pt idx="99">
                  <c:v>7.657999999999999</c:v>
                </c:pt>
                <c:pt idx="100">
                  <c:v>7.304</c:v>
                </c:pt>
                <c:pt idx="101">
                  <c:v>8.868</c:v>
                </c:pt>
                <c:pt idx="102">
                  <c:v>8.983</c:v>
                </c:pt>
                <c:pt idx="103">
                  <c:v>9.656</c:v>
                </c:pt>
                <c:pt idx="104">
                  <c:v>9.873</c:v>
                </c:pt>
                <c:pt idx="105">
                  <c:v>9.178999999999998</c:v>
                </c:pt>
                <c:pt idx="106">
                  <c:v>8.761999999999999</c:v>
                </c:pt>
                <c:pt idx="107">
                  <c:v>9.084999999999999</c:v>
                </c:pt>
                <c:pt idx="108">
                  <c:v>9.639</c:v>
                </c:pt>
                <c:pt idx="109">
                  <c:v>8.898</c:v>
                </c:pt>
                <c:pt idx="110">
                  <c:v>7.653999999999999</c:v>
                </c:pt>
                <c:pt idx="111">
                  <c:v>9.807</c:v>
                </c:pt>
                <c:pt idx="112">
                  <c:v>8.16</c:v>
                </c:pt>
                <c:pt idx="113">
                  <c:v>9.916</c:v>
                </c:pt>
                <c:pt idx="114">
                  <c:v>9.154</c:v>
                </c:pt>
                <c:pt idx="115">
                  <c:v>8.288</c:v>
                </c:pt>
                <c:pt idx="116">
                  <c:v>9.468</c:v>
                </c:pt>
                <c:pt idx="117">
                  <c:v>9.575</c:v>
                </c:pt>
                <c:pt idx="118">
                  <c:v>8.427</c:v>
                </c:pt>
                <c:pt idx="119">
                  <c:v>9.619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Lenght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Paddy grain shape</a:t>
            </a:r>
          </a:p>
        </c:rich>
      </c:tx>
      <c:layout>
        <c:manualLayout>
          <c:xMode val="factor"/>
          <c:yMode val="factor"/>
          <c:x val="-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25"/>
          <c:w val="0.98575"/>
          <c:h val="0.780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'Data matrix'!$AT$4:$AT$123</c:f>
                <c:numCache>
                  <c:ptCount val="120"/>
                  <c:pt idx="0">
                    <c:v>0.12292210151008073</c:v>
                  </c:pt>
                  <c:pt idx="1">
                    <c:v>0.11702179150755343</c:v>
                  </c:pt>
                  <c:pt idx="2">
                    <c:v>0.2218557002906438</c:v>
                  </c:pt>
                  <c:pt idx="3">
                    <c:v>0.08659627580897285</c:v>
                  </c:pt>
                  <c:pt idx="4">
                    <c:v>0.18006887893684223</c:v>
                  </c:pt>
                  <c:pt idx="5">
                    <c:v>0.20398530557162883</c:v>
                  </c:pt>
                  <c:pt idx="6">
                    <c:v>0.20737749537973976</c:v>
                  </c:pt>
                  <c:pt idx="7">
                    <c:v>0.19382977932927667</c:v>
                  </c:pt>
                  <c:pt idx="8">
                    <c:v>0.14119078946867666</c:v>
                  </c:pt>
                  <c:pt idx="9">
                    <c:v>0.2981404882548549</c:v>
                  </c:pt>
                  <c:pt idx="10">
                    <c:v>0.1307270583495744</c:v>
                  </c:pt>
                  <c:pt idx="11">
                    <c:v>0.24924233045220337</c:v>
                  </c:pt>
                  <c:pt idx="12">
                    <c:v>0.1864540387847833</c:v>
                  </c:pt>
                  <c:pt idx="13">
                    <c:v>0.10093558082239652</c:v>
                  </c:pt>
                  <c:pt idx="14">
                    <c:v>0.06085857518293411</c:v>
                  </c:pt>
                  <c:pt idx="15">
                    <c:v>NaN</c:v>
                  </c:pt>
                  <c:pt idx="16">
                    <c:v>0.07548803099384883</c:v>
                  </c:pt>
                  <c:pt idx="17">
                    <c:v>0.19256080744057497</c:v>
                  </c:pt>
                  <c:pt idx="18">
                    <c:v>0.10274195097962721</c:v>
                  </c:pt>
                  <c:pt idx="19">
                    <c:v>0.27616826243508474</c:v>
                  </c:pt>
                  <c:pt idx="20">
                    <c:v>0.08173516772883554</c:v>
                  </c:pt>
                  <c:pt idx="21">
                    <c:v>0.06171682747020107</c:v>
                  </c:pt>
                  <c:pt idx="22">
                    <c:v>0.08963145124601726</c:v>
                  </c:pt>
                  <c:pt idx="23">
                    <c:v>0.08048416513026868</c:v>
                  </c:pt>
                  <c:pt idx="24">
                    <c:v>0.12808953699901907</c:v>
                  </c:pt>
                  <c:pt idx="25">
                    <c:v>0.08525967714411001</c:v>
                  </c:pt>
                  <c:pt idx="26">
                    <c:v>0.11376122842665105</c:v>
                  </c:pt>
                  <c:pt idx="27">
                    <c:v>0.13293589426676178</c:v>
                  </c:pt>
                  <c:pt idx="28">
                    <c:v>NaN</c:v>
                  </c:pt>
                  <c:pt idx="29">
                    <c:v>0.15080795056248278</c:v>
                  </c:pt>
                  <c:pt idx="30">
                    <c:v>0.08715383210668762</c:v>
                  </c:pt>
                  <c:pt idx="31">
                    <c:v>0.1202137851531747</c:v>
                  </c:pt>
                  <c:pt idx="32">
                    <c:v>0.21239508866633874</c:v>
                  </c:pt>
                  <c:pt idx="33">
                    <c:v>NaN</c:v>
                  </c:pt>
                  <c:pt idx="34">
                    <c:v>0.21588930399126993</c:v>
                  </c:pt>
                  <c:pt idx="35">
                    <c:v>0.21896783728690603</c:v>
                  </c:pt>
                  <c:pt idx="36">
                    <c:v>0.06912236496011522</c:v>
                  </c:pt>
                  <c:pt idx="37">
                    <c:v>0.10678958951575285</c:v>
                  </c:pt>
                  <c:pt idx="38">
                    <c:v>0.13608444675460352</c:v>
                  </c:pt>
                  <c:pt idx="39">
                    <c:v>NaN</c:v>
                  </c:pt>
                  <c:pt idx="40">
                    <c:v>0.07038214410364745</c:v>
                  </c:pt>
                  <c:pt idx="41">
                    <c:v>0.11165812129402244</c:v>
                  </c:pt>
                  <c:pt idx="42">
                    <c:v>0.18961095415764231</c:v>
                  </c:pt>
                  <c:pt idx="43">
                    <c:v>0.12740765779328778</c:v>
                  </c:pt>
                  <c:pt idx="44">
                    <c:v>0.12214513149163539</c:v>
                  </c:pt>
                  <c:pt idx="45">
                    <c:v>0.1401014281886985</c:v>
                  </c:pt>
                  <c:pt idx="46">
                    <c:v>0.09563087900833209</c:v>
                  </c:pt>
                  <c:pt idx="47">
                    <c:v>0.11552670435973204</c:v>
                  </c:pt>
                  <c:pt idx="48">
                    <c:v>0.10026304507762256</c:v>
                  </c:pt>
                  <c:pt idx="49">
                    <c:v>0.15744748722458013</c:v>
                  </c:pt>
                  <c:pt idx="50">
                    <c:v>0.09120575298297666</c:v>
                  </c:pt>
                  <c:pt idx="51">
                    <c:v>0.20854202548172848</c:v>
                  </c:pt>
                  <c:pt idx="52">
                    <c:v>0.34568933845175054</c:v>
                  </c:pt>
                  <c:pt idx="53">
                    <c:v>0.1458602247629481</c:v>
                  </c:pt>
                  <c:pt idx="54">
                    <c:v>0.2905052716231505</c:v>
                  </c:pt>
                  <c:pt idx="55">
                    <c:v>0.2479375108774798</c:v>
                  </c:pt>
                  <c:pt idx="56">
                    <c:v>0.2963021221573672</c:v>
                  </c:pt>
                  <c:pt idx="57">
                    <c:v>0.2284949963478683</c:v>
                  </c:pt>
                  <c:pt idx="58">
                    <c:v>0.1899033869897298</c:v>
                  </c:pt>
                  <c:pt idx="59">
                    <c:v>0.08779460964511193</c:v>
                  </c:pt>
                  <c:pt idx="60">
                    <c:v>0.09272974560642379</c:v>
                  </c:pt>
                  <c:pt idx="61">
                    <c:v>0.27170565882035924</c:v>
                  </c:pt>
                  <c:pt idx="62">
                    <c:v>0.278307392902059</c:v>
                  </c:pt>
                  <c:pt idx="63">
                    <c:v>0.18158660365963716</c:v>
                  </c:pt>
                  <c:pt idx="64">
                    <c:v>0.14259090713730385</c:v>
                  </c:pt>
                  <c:pt idx="65">
                    <c:v>0.3624402764138767</c:v>
                  </c:pt>
                  <c:pt idx="66">
                    <c:v>0.3996700233451056</c:v>
                  </c:pt>
                  <c:pt idx="67">
                    <c:v>0.27184727051592905</c:v>
                  </c:pt>
                  <c:pt idx="68">
                    <c:v>0.22390617767845097</c:v>
                  </c:pt>
                  <c:pt idx="69">
                    <c:v>0.12544844485630804</c:v>
                  </c:pt>
                  <c:pt idx="70">
                    <c:v>0.2928241920141915</c:v>
                  </c:pt>
                  <c:pt idx="71">
                    <c:v>0.20169570993423058</c:v>
                  </c:pt>
                  <c:pt idx="72">
                    <c:v>0.2985435271963653</c:v>
                  </c:pt>
                  <c:pt idx="73">
                    <c:v>0.3322516469603374</c:v>
                  </c:pt>
                  <c:pt idx="74">
                    <c:v>0.17628909187354097</c:v>
                  </c:pt>
                  <c:pt idx="75">
                    <c:v>0.24423329177852865</c:v>
                  </c:pt>
                  <c:pt idx="76">
                    <c:v>0.2168985081945503</c:v>
                  </c:pt>
                  <c:pt idx="77">
                    <c:v>0.06985310810038486</c:v>
                  </c:pt>
                  <c:pt idx="78">
                    <c:v>0.08614558710251265</c:v>
                  </c:pt>
                  <c:pt idx="79">
                    <c:v>0.16705424927026197</c:v>
                  </c:pt>
                  <c:pt idx="80">
                    <c:v>0.23039539912941784</c:v>
                  </c:pt>
                  <c:pt idx="81">
                    <c:v>0.12086484040776858</c:v>
                  </c:pt>
                  <c:pt idx="82">
                    <c:v>0.09704657905658458</c:v>
                  </c:pt>
                  <c:pt idx="83">
                    <c:v>0.4403587999763412</c:v>
                  </c:pt>
                  <c:pt idx="84">
                    <c:v>0.15731995224576514</c:v>
                  </c:pt>
                  <c:pt idx="85">
                    <c:v>0.1342422577765103</c:v>
                  </c:pt>
                  <c:pt idx="86">
                    <c:v>0.14893227178096288</c:v>
                  </c:pt>
                  <c:pt idx="87">
                    <c:v>0.15164008115969274</c:v>
                  </c:pt>
                  <c:pt idx="88">
                    <c:v>0.08176647483094517</c:v>
                  </c:pt>
                  <c:pt idx="89">
                    <c:v>0.09766204994170716</c:v>
                  </c:pt>
                  <c:pt idx="90">
                    <c:v>0.3683438156472313</c:v>
                  </c:pt>
                  <c:pt idx="91">
                    <c:v>0.09493633677875546</c:v>
                  </c:pt>
                  <c:pt idx="92">
                    <c:v>0.09912111179512592</c:v>
                  </c:pt>
                  <c:pt idx="93">
                    <c:v>0.07745998695492745</c:v>
                  </c:pt>
                  <c:pt idx="94">
                    <c:v>0.1455847047106663</c:v>
                  </c:pt>
                  <c:pt idx="95">
                    <c:v>0.14572359644449612</c:v>
                  </c:pt>
                  <c:pt idx="96">
                    <c:v>0.3428984976825896</c:v>
                  </c:pt>
                  <c:pt idx="97">
                    <c:v>0.07556730936070545</c:v>
                  </c:pt>
                  <c:pt idx="98">
                    <c:v>0.05394607737271405</c:v>
                  </c:pt>
                  <c:pt idx="99">
                    <c:v>0.10681789334791811</c:v>
                  </c:pt>
                  <c:pt idx="100">
                    <c:v>0.07213099169450998</c:v>
                  </c:pt>
                  <c:pt idx="101">
                    <c:v>0.14607789025457488</c:v>
                  </c:pt>
                  <c:pt idx="102">
                    <c:v>0.14640908112182388</c:v>
                  </c:pt>
                  <c:pt idx="103">
                    <c:v>0.09163944693117565</c:v>
                  </c:pt>
                  <c:pt idx="104">
                    <c:v>0.10609599160771337</c:v>
                  </c:pt>
                  <c:pt idx="105">
                    <c:v>0.06626087394690532</c:v>
                  </c:pt>
                  <c:pt idx="106">
                    <c:v>0.05515154316309622</c:v>
                  </c:pt>
                  <c:pt idx="107">
                    <c:v>0.14645259243866798</c:v>
                  </c:pt>
                  <c:pt idx="108">
                    <c:v>0.19627993063649063</c:v>
                  </c:pt>
                  <c:pt idx="109">
                    <c:v>0.10928640661931843</c:v>
                  </c:pt>
                  <c:pt idx="110">
                    <c:v>0.14377162438121863</c:v>
                  </c:pt>
                  <c:pt idx="111">
                    <c:v>0.16100777254954057</c:v>
                  </c:pt>
                  <c:pt idx="112">
                    <c:v>0.0988908474554262</c:v>
                  </c:pt>
                  <c:pt idx="113">
                    <c:v>0.17047350788496285</c:v>
                  </c:pt>
                  <c:pt idx="114">
                    <c:v>0.12540085695487893</c:v>
                  </c:pt>
                  <c:pt idx="115">
                    <c:v>0.11574160917936172</c:v>
                  </c:pt>
                  <c:pt idx="116">
                    <c:v>0.20072970211247482</c:v>
                  </c:pt>
                  <c:pt idx="117">
                    <c:v>0.14890644549056029</c:v>
                  </c:pt>
                  <c:pt idx="118">
                    <c:v>0.1565353919026919</c:v>
                  </c:pt>
                  <c:pt idx="119">
                    <c:v>0.15979685895571305</c:v>
                  </c:pt>
                </c:numCache>
              </c:numRef>
            </c:plus>
            <c:minus>
              <c:numRef>
                <c:f>'Data matrix'!$AT$4:$AT$123</c:f>
                <c:numCache>
                  <c:ptCount val="120"/>
                  <c:pt idx="0">
                    <c:v>0.12292210151008073</c:v>
                  </c:pt>
                  <c:pt idx="1">
                    <c:v>0.11702179150755343</c:v>
                  </c:pt>
                  <c:pt idx="2">
                    <c:v>0.2218557002906438</c:v>
                  </c:pt>
                  <c:pt idx="3">
                    <c:v>0.08659627580897285</c:v>
                  </c:pt>
                  <c:pt idx="4">
                    <c:v>0.18006887893684223</c:v>
                  </c:pt>
                  <c:pt idx="5">
                    <c:v>0.20398530557162883</c:v>
                  </c:pt>
                  <c:pt idx="6">
                    <c:v>0.20737749537973976</c:v>
                  </c:pt>
                  <c:pt idx="7">
                    <c:v>0.19382977932927667</c:v>
                  </c:pt>
                  <c:pt idx="8">
                    <c:v>0.14119078946867666</c:v>
                  </c:pt>
                  <c:pt idx="9">
                    <c:v>0.2981404882548549</c:v>
                  </c:pt>
                  <c:pt idx="10">
                    <c:v>0.1307270583495744</c:v>
                  </c:pt>
                  <c:pt idx="11">
                    <c:v>0.24924233045220337</c:v>
                  </c:pt>
                  <c:pt idx="12">
                    <c:v>0.1864540387847833</c:v>
                  </c:pt>
                  <c:pt idx="13">
                    <c:v>0.10093558082239652</c:v>
                  </c:pt>
                  <c:pt idx="14">
                    <c:v>0.06085857518293411</c:v>
                  </c:pt>
                  <c:pt idx="15">
                    <c:v>NaN</c:v>
                  </c:pt>
                  <c:pt idx="16">
                    <c:v>0.07548803099384883</c:v>
                  </c:pt>
                  <c:pt idx="17">
                    <c:v>0.19256080744057497</c:v>
                  </c:pt>
                  <c:pt idx="18">
                    <c:v>0.10274195097962721</c:v>
                  </c:pt>
                  <c:pt idx="19">
                    <c:v>0.27616826243508474</c:v>
                  </c:pt>
                  <c:pt idx="20">
                    <c:v>0.08173516772883554</c:v>
                  </c:pt>
                  <c:pt idx="21">
                    <c:v>0.06171682747020107</c:v>
                  </c:pt>
                  <c:pt idx="22">
                    <c:v>0.08963145124601726</c:v>
                  </c:pt>
                  <c:pt idx="23">
                    <c:v>0.08048416513026868</c:v>
                  </c:pt>
                  <c:pt idx="24">
                    <c:v>0.12808953699901907</c:v>
                  </c:pt>
                  <c:pt idx="25">
                    <c:v>0.08525967714411001</c:v>
                  </c:pt>
                  <c:pt idx="26">
                    <c:v>0.11376122842665105</c:v>
                  </c:pt>
                  <c:pt idx="27">
                    <c:v>0.13293589426676178</c:v>
                  </c:pt>
                  <c:pt idx="28">
                    <c:v>NaN</c:v>
                  </c:pt>
                  <c:pt idx="29">
                    <c:v>0.15080795056248278</c:v>
                  </c:pt>
                  <c:pt idx="30">
                    <c:v>0.08715383210668762</c:v>
                  </c:pt>
                  <c:pt idx="31">
                    <c:v>0.1202137851531747</c:v>
                  </c:pt>
                  <c:pt idx="32">
                    <c:v>0.21239508866633874</c:v>
                  </c:pt>
                  <c:pt idx="33">
                    <c:v>NaN</c:v>
                  </c:pt>
                  <c:pt idx="34">
                    <c:v>0.21588930399126993</c:v>
                  </c:pt>
                  <c:pt idx="35">
                    <c:v>0.21896783728690603</c:v>
                  </c:pt>
                  <c:pt idx="36">
                    <c:v>0.06912236496011522</c:v>
                  </c:pt>
                  <c:pt idx="37">
                    <c:v>0.10678958951575285</c:v>
                  </c:pt>
                  <c:pt idx="38">
                    <c:v>0.13608444675460352</c:v>
                  </c:pt>
                  <c:pt idx="39">
                    <c:v>NaN</c:v>
                  </c:pt>
                  <c:pt idx="40">
                    <c:v>0.07038214410364745</c:v>
                  </c:pt>
                  <c:pt idx="41">
                    <c:v>0.11165812129402244</c:v>
                  </c:pt>
                  <c:pt idx="42">
                    <c:v>0.18961095415764231</c:v>
                  </c:pt>
                  <c:pt idx="43">
                    <c:v>0.12740765779328778</c:v>
                  </c:pt>
                  <c:pt idx="44">
                    <c:v>0.12214513149163539</c:v>
                  </c:pt>
                  <c:pt idx="45">
                    <c:v>0.1401014281886985</c:v>
                  </c:pt>
                  <c:pt idx="46">
                    <c:v>0.09563087900833209</c:v>
                  </c:pt>
                  <c:pt idx="47">
                    <c:v>0.11552670435973204</c:v>
                  </c:pt>
                  <c:pt idx="48">
                    <c:v>0.10026304507762256</c:v>
                  </c:pt>
                  <c:pt idx="49">
                    <c:v>0.15744748722458013</c:v>
                  </c:pt>
                  <c:pt idx="50">
                    <c:v>0.09120575298297666</c:v>
                  </c:pt>
                  <c:pt idx="51">
                    <c:v>0.20854202548172848</c:v>
                  </c:pt>
                  <c:pt idx="52">
                    <c:v>0.34568933845175054</c:v>
                  </c:pt>
                  <c:pt idx="53">
                    <c:v>0.1458602247629481</c:v>
                  </c:pt>
                  <c:pt idx="54">
                    <c:v>0.2905052716231505</c:v>
                  </c:pt>
                  <c:pt idx="55">
                    <c:v>0.2479375108774798</c:v>
                  </c:pt>
                  <c:pt idx="56">
                    <c:v>0.2963021221573672</c:v>
                  </c:pt>
                  <c:pt idx="57">
                    <c:v>0.2284949963478683</c:v>
                  </c:pt>
                  <c:pt idx="58">
                    <c:v>0.1899033869897298</c:v>
                  </c:pt>
                  <c:pt idx="59">
                    <c:v>0.08779460964511193</c:v>
                  </c:pt>
                  <c:pt idx="60">
                    <c:v>0.09272974560642379</c:v>
                  </c:pt>
                  <c:pt idx="61">
                    <c:v>0.27170565882035924</c:v>
                  </c:pt>
                  <c:pt idx="62">
                    <c:v>0.278307392902059</c:v>
                  </c:pt>
                  <c:pt idx="63">
                    <c:v>0.18158660365963716</c:v>
                  </c:pt>
                  <c:pt idx="64">
                    <c:v>0.14259090713730385</c:v>
                  </c:pt>
                  <c:pt idx="65">
                    <c:v>0.3624402764138767</c:v>
                  </c:pt>
                  <c:pt idx="66">
                    <c:v>0.3996700233451056</c:v>
                  </c:pt>
                  <c:pt idx="67">
                    <c:v>0.27184727051592905</c:v>
                  </c:pt>
                  <c:pt idx="68">
                    <c:v>0.22390617767845097</c:v>
                  </c:pt>
                  <c:pt idx="69">
                    <c:v>0.12544844485630804</c:v>
                  </c:pt>
                  <c:pt idx="70">
                    <c:v>0.2928241920141915</c:v>
                  </c:pt>
                  <c:pt idx="71">
                    <c:v>0.20169570993423058</c:v>
                  </c:pt>
                  <c:pt idx="72">
                    <c:v>0.2985435271963653</c:v>
                  </c:pt>
                  <c:pt idx="73">
                    <c:v>0.3322516469603374</c:v>
                  </c:pt>
                  <c:pt idx="74">
                    <c:v>0.17628909187354097</c:v>
                  </c:pt>
                  <c:pt idx="75">
                    <c:v>0.24423329177852865</c:v>
                  </c:pt>
                  <c:pt idx="76">
                    <c:v>0.2168985081945503</c:v>
                  </c:pt>
                  <c:pt idx="77">
                    <c:v>0.06985310810038486</c:v>
                  </c:pt>
                  <c:pt idx="78">
                    <c:v>0.08614558710251265</c:v>
                  </c:pt>
                  <c:pt idx="79">
                    <c:v>0.16705424927026197</c:v>
                  </c:pt>
                  <c:pt idx="80">
                    <c:v>0.23039539912941784</c:v>
                  </c:pt>
                  <c:pt idx="81">
                    <c:v>0.12086484040776858</c:v>
                  </c:pt>
                  <c:pt idx="82">
                    <c:v>0.09704657905658458</c:v>
                  </c:pt>
                  <c:pt idx="83">
                    <c:v>0.4403587999763412</c:v>
                  </c:pt>
                  <c:pt idx="84">
                    <c:v>0.15731995224576514</c:v>
                  </c:pt>
                  <c:pt idx="85">
                    <c:v>0.1342422577765103</c:v>
                  </c:pt>
                  <c:pt idx="86">
                    <c:v>0.14893227178096288</c:v>
                  </c:pt>
                  <c:pt idx="87">
                    <c:v>0.15164008115969274</c:v>
                  </c:pt>
                  <c:pt idx="88">
                    <c:v>0.08176647483094517</c:v>
                  </c:pt>
                  <c:pt idx="89">
                    <c:v>0.09766204994170716</c:v>
                  </c:pt>
                  <c:pt idx="90">
                    <c:v>0.3683438156472313</c:v>
                  </c:pt>
                  <c:pt idx="91">
                    <c:v>0.09493633677875546</c:v>
                  </c:pt>
                  <c:pt idx="92">
                    <c:v>0.09912111179512592</c:v>
                  </c:pt>
                  <c:pt idx="93">
                    <c:v>0.07745998695492745</c:v>
                  </c:pt>
                  <c:pt idx="94">
                    <c:v>0.1455847047106663</c:v>
                  </c:pt>
                  <c:pt idx="95">
                    <c:v>0.14572359644449612</c:v>
                  </c:pt>
                  <c:pt idx="96">
                    <c:v>0.3428984976825896</c:v>
                  </c:pt>
                  <c:pt idx="97">
                    <c:v>0.07556730936070545</c:v>
                  </c:pt>
                  <c:pt idx="98">
                    <c:v>0.05394607737271405</c:v>
                  </c:pt>
                  <c:pt idx="99">
                    <c:v>0.10681789334791811</c:v>
                  </c:pt>
                  <c:pt idx="100">
                    <c:v>0.07213099169450998</c:v>
                  </c:pt>
                  <c:pt idx="101">
                    <c:v>0.14607789025457488</c:v>
                  </c:pt>
                  <c:pt idx="102">
                    <c:v>0.14640908112182388</c:v>
                  </c:pt>
                  <c:pt idx="103">
                    <c:v>0.09163944693117565</c:v>
                  </c:pt>
                  <c:pt idx="104">
                    <c:v>0.10609599160771337</c:v>
                  </c:pt>
                  <c:pt idx="105">
                    <c:v>0.06626087394690532</c:v>
                  </c:pt>
                  <c:pt idx="106">
                    <c:v>0.05515154316309622</c:v>
                  </c:pt>
                  <c:pt idx="107">
                    <c:v>0.14645259243866798</c:v>
                  </c:pt>
                  <c:pt idx="108">
                    <c:v>0.19627993063649063</c:v>
                  </c:pt>
                  <c:pt idx="109">
                    <c:v>0.10928640661931843</c:v>
                  </c:pt>
                  <c:pt idx="110">
                    <c:v>0.14377162438121863</c:v>
                  </c:pt>
                  <c:pt idx="111">
                    <c:v>0.16100777254954057</c:v>
                  </c:pt>
                  <c:pt idx="112">
                    <c:v>0.0988908474554262</c:v>
                  </c:pt>
                  <c:pt idx="113">
                    <c:v>0.17047350788496285</c:v>
                  </c:pt>
                  <c:pt idx="114">
                    <c:v>0.12540085695487893</c:v>
                  </c:pt>
                  <c:pt idx="115">
                    <c:v>0.11574160917936172</c:v>
                  </c:pt>
                  <c:pt idx="116">
                    <c:v>0.20072970211247482</c:v>
                  </c:pt>
                  <c:pt idx="117">
                    <c:v>0.14890644549056029</c:v>
                  </c:pt>
                  <c:pt idx="118">
                    <c:v>0.1565353919026919</c:v>
                  </c:pt>
                  <c:pt idx="119">
                    <c:v>0.15979685895571305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'Data matrix'!$AK$4:$AK$123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matrix'!$AS$4:$AS$123</c:f>
              <c:numCache>
                <c:ptCount val="120"/>
                <c:pt idx="0">
                  <c:v>2.96618767752461</c:v>
                </c:pt>
                <c:pt idx="1">
                  <c:v>2.9477735335256128</c:v>
                </c:pt>
                <c:pt idx="2">
                  <c:v>2.6189660155608414</c:v>
                </c:pt>
                <c:pt idx="3">
                  <c:v>2.044088871887182</c:v>
                </c:pt>
                <c:pt idx="4">
                  <c:v>3.4935052784388696</c:v>
                </c:pt>
                <c:pt idx="5">
                  <c:v>3.4357429727030615</c:v>
                </c:pt>
                <c:pt idx="6">
                  <c:v>3.522632912812469</c:v>
                </c:pt>
                <c:pt idx="7">
                  <c:v>3.275354940925824</c:v>
                </c:pt>
                <c:pt idx="8">
                  <c:v>3.9157527549258324</c:v>
                </c:pt>
                <c:pt idx="9">
                  <c:v>3.501308888484138</c:v>
                </c:pt>
                <c:pt idx="10">
                  <c:v>3.2211508607306722</c:v>
                </c:pt>
                <c:pt idx="11">
                  <c:v>3.632525009731375</c:v>
                </c:pt>
                <c:pt idx="12">
                  <c:v>3.292474332944658</c:v>
                </c:pt>
                <c:pt idx="13">
                  <c:v>3.0595867483005876</c:v>
                </c:pt>
                <c:pt idx="14">
                  <c:v>2.4180992344821606</c:v>
                </c:pt>
                <c:pt idx="16">
                  <c:v>2.245086678193549</c:v>
                </c:pt>
                <c:pt idx="17">
                  <c:v>4.138078878386759</c:v>
                </c:pt>
                <c:pt idx="18">
                  <c:v>2.3277798410187396</c:v>
                </c:pt>
                <c:pt idx="19">
                  <c:v>2.2977796239924624</c:v>
                </c:pt>
                <c:pt idx="20">
                  <c:v>2.09095779723193</c:v>
                </c:pt>
                <c:pt idx="21">
                  <c:v>1.8828825079866807</c:v>
                </c:pt>
                <c:pt idx="22">
                  <c:v>2.402425257841364</c:v>
                </c:pt>
                <c:pt idx="23">
                  <c:v>1.9864763092613174</c:v>
                </c:pt>
                <c:pt idx="24">
                  <c:v>2.201014918147713</c:v>
                </c:pt>
                <c:pt idx="25">
                  <c:v>2.175210377994896</c:v>
                </c:pt>
                <c:pt idx="26">
                  <c:v>2.2520557233291307</c:v>
                </c:pt>
                <c:pt idx="27">
                  <c:v>2.3665466115975033</c:v>
                </c:pt>
                <c:pt idx="29">
                  <c:v>2.852564248014086</c:v>
                </c:pt>
                <c:pt idx="30">
                  <c:v>2.4402148058663586</c:v>
                </c:pt>
                <c:pt idx="31">
                  <c:v>2.9610997628536304</c:v>
                </c:pt>
                <c:pt idx="32">
                  <c:v>3.619878106876146</c:v>
                </c:pt>
                <c:pt idx="34">
                  <c:v>3.338664115046769</c:v>
                </c:pt>
                <c:pt idx="35">
                  <c:v>3.887986207896374</c:v>
                </c:pt>
                <c:pt idx="36">
                  <c:v>2.0073270208906058</c:v>
                </c:pt>
                <c:pt idx="37">
                  <c:v>2.3717267378091416</c:v>
                </c:pt>
                <c:pt idx="38">
                  <c:v>3.5643502998324204</c:v>
                </c:pt>
                <c:pt idx="40">
                  <c:v>2.4148212389484556</c:v>
                </c:pt>
                <c:pt idx="41">
                  <c:v>2.4810169963120896</c:v>
                </c:pt>
                <c:pt idx="42">
                  <c:v>2.8820684189720644</c:v>
                </c:pt>
                <c:pt idx="43">
                  <c:v>3.7319201154687063</c:v>
                </c:pt>
                <c:pt idx="44">
                  <c:v>2.8224774203508565</c:v>
                </c:pt>
                <c:pt idx="45">
                  <c:v>2.3813361589413065</c:v>
                </c:pt>
                <c:pt idx="46">
                  <c:v>2.414472184156037</c:v>
                </c:pt>
                <c:pt idx="47">
                  <c:v>2.7710608501509753</c:v>
                </c:pt>
                <c:pt idx="48">
                  <c:v>2.0879896969016585</c:v>
                </c:pt>
                <c:pt idx="49">
                  <c:v>2.6773774588618204</c:v>
                </c:pt>
                <c:pt idx="50">
                  <c:v>2.483097757428575</c:v>
                </c:pt>
                <c:pt idx="51">
                  <c:v>3.297728934980916</c:v>
                </c:pt>
                <c:pt idx="52">
                  <c:v>4.286932907480658</c:v>
                </c:pt>
                <c:pt idx="53">
                  <c:v>3.921544797951391</c:v>
                </c:pt>
                <c:pt idx="54">
                  <c:v>3.8742366492708853</c:v>
                </c:pt>
                <c:pt idx="55">
                  <c:v>3.931102914753837</c:v>
                </c:pt>
                <c:pt idx="56">
                  <c:v>3.587512917913783</c:v>
                </c:pt>
                <c:pt idx="57">
                  <c:v>3.8773849409508685</c:v>
                </c:pt>
                <c:pt idx="58">
                  <c:v>2.958486910894048</c:v>
                </c:pt>
                <c:pt idx="59">
                  <c:v>2.6909775463614842</c:v>
                </c:pt>
                <c:pt idx="60">
                  <c:v>2.1638644463704972</c:v>
                </c:pt>
                <c:pt idx="61">
                  <c:v>3.9433522717066274</c:v>
                </c:pt>
                <c:pt idx="62">
                  <c:v>3.5300188537306405</c:v>
                </c:pt>
                <c:pt idx="63">
                  <c:v>3.3226779946268494</c:v>
                </c:pt>
                <c:pt idx="64">
                  <c:v>3.207422116062466</c:v>
                </c:pt>
                <c:pt idx="65">
                  <c:v>3.286543025754958</c:v>
                </c:pt>
                <c:pt idx="66">
                  <c:v>3.703340376045709</c:v>
                </c:pt>
                <c:pt idx="67">
                  <c:v>3.7571936306987084</c:v>
                </c:pt>
                <c:pt idx="68">
                  <c:v>3.3576983661331816</c:v>
                </c:pt>
                <c:pt idx="69">
                  <c:v>3.2543885554046232</c:v>
                </c:pt>
                <c:pt idx="70">
                  <c:v>3.4756427117057798</c:v>
                </c:pt>
                <c:pt idx="71">
                  <c:v>4.021536465763199</c:v>
                </c:pt>
                <c:pt idx="72">
                  <c:v>3.8551286248197796</c:v>
                </c:pt>
                <c:pt idx="73">
                  <c:v>3.650814878625561</c:v>
                </c:pt>
                <c:pt idx="74">
                  <c:v>3.769516267837812</c:v>
                </c:pt>
                <c:pt idx="75">
                  <c:v>3.5893455710944258</c:v>
                </c:pt>
                <c:pt idx="76">
                  <c:v>3.4202812717618856</c:v>
                </c:pt>
                <c:pt idx="77">
                  <c:v>2.4915095489408814</c:v>
                </c:pt>
                <c:pt idx="78">
                  <c:v>2.528877572030294</c:v>
                </c:pt>
                <c:pt idx="79">
                  <c:v>2.386639641588867</c:v>
                </c:pt>
                <c:pt idx="80">
                  <c:v>3.602846153811337</c:v>
                </c:pt>
                <c:pt idx="81">
                  <c:v>2.675509327137745</c:v>
                </c:pt>
                <c:pt idx="82">
                  <c:v>2.398421910247297</c:v>
                </c:pt>
                <c:pt idx="83">
                  <c:v>3.779137937562637</c:v>
                </c:pt>
                <c:pt idx="84">
                  <c:v>2.134064956022455</c:v>
                </c:pt>
                <c:pt idx="85">
                  <c:v>2.1175525445087677</c:v>
                </c:pt>
                <c:pt idx="86">
                  <c:v>3.8231790218911748</c:v>
                </c:pt>
                <c:pt idx="87">
                  <c:v>3.3339553227508474</c:v>
                </c:pt>
                <c:pt idx="88">
                  <c:v>3.0025595157389486</c:v>
                </c:pt>
                <c:pt idx="89">
                  <c:v>2.6416418514931594</c:v>
                </c:pt>
                <c:pt idx="90">
                  <c:v>3.7457716655462443</c:v>
                </c:pt>
                <c:pt idx="91">
                  <c:v>2.9582494317250267</c:v>
                </c:pt>
                <c:pt idx="92">
                  <c:v>2.260430511661272</c:v>
                </c:pt>
                <c:pt idx="93">
                  <c:v>2.5629206434436385</c:v>
                </c:pt>
                <c:pt idx="94">
                  <c:v>3.98322647371279</c:v>
                </c:pt>
                <c:pt idx="95">
                  <c:v>3.4353941660004397</c:v>
                </c:pt>
                <c:pt idx="96">
                  <c:v>3.774095928929549</c:v>
                </c:pt>
                <c:pt idx="97">
                  <c:v>2.7969141871192265</c:v>
                </c:pt>
                <c:pt idx="98">
                  <c:v>2.4191698016135277</c:v>
                </c:pt>
                <c:pt idx="99">
                  <c:v>2.375856252725391</c:v>
                </c:pt>
                <c:pt idx="100">
                  <c:v>1.9421803025477355</c:v>
                </c:pt>
                <c:pt idx="101">
                  <c:v>2.792996267277768</c:v>
                </c:pt>
                <c:pt idx="102">
                  <c:v>3.1756459362702127</c:v>
                </c:pt>
                <c:pt idx="103">
                  <c:v>3.3523626187960938</c:v>
                </c:pt>
                <c:pt idx="104">
                  <c:v>2.6909772569626815</c:v>
                </c:pt>
                <c:pt idx="105">
                  <c:v>2.476475055139649</c:v>
                </c:pt>
                <c:pt idx="106">
                  <c:v>2.5759068298884484</c:v>
                </c:pt>
                <c:pt idx="107">
                  <c:v>3.0366972997283264</c:v>
                </c:pt>
                <c:pt idx="108">
                  <c:v>3.7767113467110383</c:v>
                </c:pt>
                <c:pt idx="109">
                  <c:v>2.890072475171696</c:v>
                </c:pt>
                <c:pt idx="110">
                  <c:v>2.2102341547095024</c:v>
                </c:pt>
                <c:pt idx="111">
                  <c:v>4.004977732554934</c:v>
                </c:pt>
                <c:pt idx="112">
                  <c:v>2.260114933190713</c:v>
                </c:pt>
                <c:pt idx="113">
                  <c:v>3.1256044477485547</c:v>
                </c:pt>
                <c:pt idx="114">
                  <c:v>3.8480308208966725</c:v>
                </c:pt>
                <c:pt idx="115">
                  <c:v>2.482246263932679</c:v>
                </c:pt>
                <c:pt idx="116">
                  <c:v>3.7127425064211357</c:v>
                </c:pt>
                <c:pt idx="117">
                  <c:v>3.5302080322345</c:v>
                </c:pt>
                <c:pt idx="118">
                  <c:v>2.628176832854739</c:v>
                </c:pt>
                <c:pt idx="119">
                  <c:v>3.0777870873057824</c:v>
                </c:pt>
              </c:numCache>
            </c:numRef>
          </c:val>
        </c:ser>
        <c:axId val="53233170"/>
        <c:axId val="9336483"/>
      </c:barChart>
      <c:cat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(l/w)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Lemma and palea colour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2585"/>
          <c:w val="0.32375"/>
          <c:h val="0.6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Lab descriptors'!$A$3:$A$6</c:f>
              <c:strCache/>
            </c:strRef>
          </c:cat>
          <c:val>
            <c:numRef>
              <c:f>'Graphs Lab descriptors'!$B$3:$B$6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36375"/>
          <c:w val="0.1985"/>
          <c:h val="0.37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Percentage of chalky grains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15"/>
          <c:w val="0.943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descriptors'!$T$3:$T$12</c:f>
              <c:strCache/>
            </c:strRef>
          </c:cat>
          <c:val>
            <c:numRef>
              <c:f>'Graphs Lab descriptors'!$U$3:$U$12</c:f>
              <c:numCache/>
            </c:numRef>
          </c:val>
        </c:ser>
        <c:axId val="16919484"/>
        <c:axId val="18057629"/>
      </c:barChart>
      <c:catAx>
        <c:axId val="169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 of chalky grains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Chalkiness of endosperm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75"/>
          <c:y val="0.28675"/>
          <c:w val="0.24775"/>
          <c:h val="0.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Lab descriptors'!$V$3:$V$7</c:f>
              <c:strCache/>
            </c:strRef>
          </c:cat>
          <c:val>
            <c:numRef>
              <c:f>'Graphs Lab descriptors'!$W$3:$W$7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34175"/>
          <c:w val="0.11625"/>
          <c:h val="0.476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paddy grain shape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6"/>
          <c:w val="0.8365"/>
          <c:h val="0.82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'Lab descriptors of grain qualit'!$X$127:$X$185</c:f>
              <c:numCache/>
            </c:numRef>
          </c:xVal>
          <c:yVal>
            <c:numRef>
              <c:f>'Lab descriptors of grain qualit'!$Y$127:$Y$185</c:f>
              <c:numCache/>
            </c:numRef>
          </c:yVal>
          <c:smooth val="1"/>
        </c:ser>
        <c:axId val="24040500"/>
        <c:axId val="15037909"/>
      </c:scatterChart>
      <c:valAx>
        <c:axId val="24040500"/>
        <c:scaling>
          <c:orientation val="minMax"/>
          <c:max val="4.55"/>
          <c:min val="1.5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 val="autoZero"/>
        <c:crossBetween val="midCat"/>
        <c:dispUnits/>
      </c:valAx>
      <c:valAx>
        <c:axId val="15037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492"/>
          <c:w val="0.1132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Alkali digestion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22325"/>
          <c:w val="0.901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descriptors'!$P$3:$P$7</c:f>
              <c:strCache/>
            </c:strRef>
          </c:cat>
          <c:val>
            <c:numRef>
              <c:f>'Graphs Lab descriptors'!$Q$3:$Q$7</c:f>
              <c:numCache/>
            </c:numRef>
          </c:val>
        </c:ser>
        <c:axId val="28300934"/>
        <c:axId val="53381815"/>
      </c:bar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7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 grain weight</a:t>
            </a:r>
          </a:p>
        </c:rich>
      </c:tx>
      <c:layout>
        <c:manualLayout>
          <c:xMode val="factor"/>
          <c:yMode val="factor"/>
          <c:x val="-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375"/>
          <c:w val="0.985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matrix'!$AK$4:$AK$123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matrix'!$BC$4:$BC$123</c:f>
              <c:numCache>
                <c:ptCount val="120"/>
                <c:pt idx="0">
                  <c:v>29.6</c:v>
                </c:pt>
                <c:pt idx="1">
                  <c:v>27.92</c:v>
                </c:pt>
                <c:pt idx="2">
                  <c:v>28.88</c:v>
                </c:pt>
                <c:pt idx="3">
                  <c:v>23.79</c:v>
                </c:pt>
                <c:pt idx="4">
                  <c:v>24.26</c:v>
                </c:pt>
                <c:pt idx="5">
                  <c:v>24.14</c:v>
                </c:pt>
                <c:pt idx="6">
                  <c:v>20.16</c:v>
                </c:pt>
                <c:pt idx="7">
                  <c:v>31.51</c:v>
                </c:pt>
                <c:pt idx="8">
                  <c:v>23.42</c:v>
                </c:pt>
                <c:pt idx="9">
                  <c:v>20.9</c:v>
                </c:pt>
                <c:pt idx="11">
                  <c:v>18.799999999999997</c:v>
                </c:pt>
                <c:pt idx="12">
                  <c:v>26.55</c:v>
                </c:pt>
                <c:pt idx="13">
                  <c:v>33.3</c:v>
                </c:pt>
                <c:pt idx="14">
                  <c:v>13.68</c:v>
                </c:pt>
                <c:pt idx="16">
                  <c:v>32.49</c:v>
                </c:pt>
                <c:pt idx="17">
                  <c:v>22.3</c:v>
                </c:pt>
                <c:pt idx="18">
                  <c:v>33.35</c:v>
                </c:pt>
                <c:pt idx="19">
                  <c:v>26.52</c:v>
                </c:pt>
                <c:pt idx="20">
                  <c:v>29.57</c:v>
                </c:pt>
                <c:pt idx="22">
                  <c:v>26.05</c:v>
                </c:pt>
                <c:pt idx="23">
                  <c:v>25.89</c:v>
                </c:pt>
                <c:pt idx="24">
                  <c:v>23.26</c:v>
                </c:pt>
                <c:pt idx="25">
                  <c:v>29.19</c:v>
                </c:pt>
                <c:pt idx="26">
                  <c:v>31.72</c:v>
                </c:pt>
                <c:pt idx="27">
                  <c:v>28.98</c:v>
                </c:pt>
                <c:pt idx="29">
                  <c:v>29.96</c:v>
                </c:pt>
                <c:pt idx="30">
                  <c:v>27.36</c:v>
                </c:pt>
                <c:pt idx="31">
                  <c:v>27.52</c:v>
                </c:pt>
                <c:pt idx="32">
                  <c:v>20.17</c:v>
                </c:pt>
                <c:pt idx="34">
                  <c:v>19.950000000000003</c:v>
                </c:pt>
                <c:pt idx="35">
                  <c:v>20.5</c:v>
                </c:pt>
                <c:pt idx="36">
                  <c:v>30.15</c:v>
                </c:pt>
                <c:pt idx="37">
                  <c:v>29.1</c:v>
                </c:pt>
                <c:pt idx="38">
                  <c:v>37.99</c:v>
                </c:pt>
                <c:pt idx="40">
                  <c:v>30.56</c:v>
                </c:pt>
                <c:pt idx="41">
                  <c:v>36.25</c:v>
                </c:pt>
                <c:pt idx="42">
                  <c:v>32.15</c:v>
                </c:pt>
                <c:pt idx="43">
                  <c:v>27.79</c:v>
                </c:pt>
                <c:pt idx="44">
                  <c:v>31.07</c:v>
                </c:pt>
                <c:pt idx="45">
                  <c:v>23.66</c:v>
                </c:pt>
                <c:pt idx="46">
                  <c:v>29.25</c:v>
                </c:pt>
                <c:pt idx="47">
                  <c:v>32.66</c:v>
                </c:pt>
                <c:pt idx="48">
                  <c:v>29.04</c:v>
                </c:pt>
                <c:pt idx="49">
                  <c:v>35.94</c:v>
                </c:pt>
                <c:pt idx="50">
                  <c:v>35.62</c:v>
                </c:pt>
                <c:pt idx="52">
                  <c:v>28.91</c:v>
                </c:pt>
                <c:pt idx="53">
                  <c:v>26.28</c:v>
                </c:pt>
                <c:pt idx="54">
                  <c:v>23.64</c:v>
                </c:pt>
                <c:pt idx="55">
                  <c:v>28.48</c:v>
                </c:pt>
                <c:pt idx="56">
                  <c:v>23.56</c:v>
                </c:pt>
                <c:pt idx="57">
                  <c:v>20.51</c:v>
                </c:pt>
                <c:pt idx="58">
                  <c:v>29.43</c:v>
                </c:pt>
                <c:pt idx="59">
                  <c:v>26.06</c:v>
                </c:pt>
                <c:pt idx="60">
                  <c:v>26.54</c:v>
                </c:pt>
                <c:pt idx="61">
                  <c:v>23.59</c:v>
                </c:pt>
                <c:pt idx="62">
                  <c:v>24.66</c:v>
                </c:pt>
                <c:pt idx="63">
                  <c:v>22.86</c:v>
                </c:pt>
                <c:pt idx="64">
                  <c:v>19.74</c:v>
                </c:pt>
                <c:pt idx="65">
                  <c:v>22.71</c:v>
                </c:pt>
                <c:pt idx="66">
                  <c:v>30.8</c:v>
                </c:pt>
                <c:pt idx="67">
                  <c:v>22.87</c:v>
                </c:pt>
                <c:pt idx="68">
                  <c:v>22.59</c:v>
                </c:pt>
                <c:pt idx="69">
                  <c:v>26.49</c:v>
                </c:pt>
                <c:pt idx="70">
                  <c:v>22.32</c:v>
                </c:pt>
                <c:pt idx="71">
                  <c:v>23.1</c:v>
                </c:pt>
                <c:pt idx="72">
                  <c:v>23.69</c:v>
                </c:pt>
                <c:pt idx="73">
                  <c:v>27.18</c:v>
                </c:pt>
                <c:pt idx="74">
                  <c:v>23.32</c:v>
                </c:pt>
                <c:pt idx="75">
                  <c:v>22.9</c:v>
                </c:pt>
                <c:pt idx="76">
                  <c:v>22.3</c:v>
                </c:pt>
                <c:pt idx="77">
                  <c:v>30.54</c:v>
                </c:pt>
                <c:pt idx="78">
                  <c:v>26.95</c:v>
                </c:pt>
                <c:pt idx="79">
                  <c:v>30.4</c:v>
                </c:pt>
                <c:pt idx="80">
                  <c:v>22.84</c:v>
                </c:pt>
                <c:pt idx="81">
                  <c:v>30.38</c:v>
                </c:pt>
                <c:pt idx="82">
                  <c:v>25.96</c:v>
                </c:pt>
                <c:pt idx="83">
                  <c:v>21.82</c:v>
                </c:pt>
                <c:pt idx="84">
                  <c:v>25.56</c:v>
                </c:pt>
                <c:pt idx="85">
                  <c:v>32.35</c:v>
                </c:pt>
                <c:pt idx="86">
                  <c:v>23.59</c:v>
                </c:pt>
                <c:pt idx="87">
                  <c:v>23.96</c:v>
                </c:pt>
                <c:pt idx="88">
                  <c:v>29.06</c:v>
                </c:pt>
                <c:pt idx="89">
                  <c:v>30.32</c:v>
                </c:pt>
                <c:pt idx="90">
                  <c:v>27.5</c:v>
                </c:pt>
                <c:pt idx="91">
                  <c:v>28.76</c:v>
                </c:pt>
                <c:pt idx="92">
                  <c:v>27.32</c:v>
                </c:pt>
                <c:pt idx="93">
                  <c:v>21.23</c:v>
                </c:pt>
                <c:pt idx="94">
                  <c:v>27.11</c:v>
                </c:pt>
                <c:pt idx="95">
                  <c:v>23.2</c:v>
                </c:pt>
                <c:pt idx="96">
                  <c:v>22.68</c:v>
                </c:pt>
                <c:pt idx="97">
                  <c:v>33.63</c:v>
                </c:pt>
                <c:pt idx="98">
                  <c:v>27.61</c:v>
                </c:pt>
                <c:pt idx="99">
                  <c:v>24.43</c:v>
                </c:pt>
                <c:pt idx="100">
                  <c:v>28.08</c:v>
                </c:pt>
                <c:pt idx="101">
                  <c:v>29.92</c:v>
                </c:pt>
                <c:pt idx="102">
                  <c:v>26.66</c:v>
                </c:pt>
                <c:pt idx="103">
                  <c:v>30.87</c:v>
                </c:pt>
                <c:pt idx="104">
                  <c:v>41.49</c:v>
                </c:pt>
                <c:pt idx="105">
                  <c:v>38</c:v>
                </c:pt>
                <c:pt idx="106">
                  <c:v>31.6</c:v>
                </c:pt>
                <c:pt idx="107">
                  <c:v>25.91</c:v>
                </c:pt>
                <c:pt idx="108">
                  <c:v>25.02</c:v>
                </c:pt>
                <c:pt idx="109">
                  <c:v>28.94</c:v>
                </c:pt>
                <c:pt idx="110">
                  <c:v>29.83</c:v>
                </c:pt>
                <c:pt idx="111">
                  <c:v>23.63</c:v>
                </c:pt>
                <c:pt idx="112">
                  <c:v>31.96</c:v>
                </c:pt>
                <c:pt idx="113">
                  <c:v>27.75</c:v>
                </c:pt>
                <c:pt idx="114">
                  <c:v>22.31</c:v>
                </c:pt>
                <c:pt idx="115">
                  <c:v>29.07</c:v>
                </c:pt>
                <c:pt idx="116">
                  <c:v>19.32</c:v>
                </c:pt>
                <c:pt idx="117">
                  <c:v>23.700000000000003</c:v>
                </c:pt>
                <c:pt idx="118">
                  <c:v>26.76</c:v>
                </c:pt>
                <c:pt idx="119">
                  <c:v>28.42</c:v>
                </c:pt>
              </c:numCache>
            </c:numRef>
          </c:val>
        </c:ser>
        <c:axId val="10674288"/>
        <c:axId val="28959729"/>
      </c:bar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(g)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grain width 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595"/>
          <c:w val="0.98575"/>
          <c:h val="0.9212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'Data matrix'!$AY$4:$AY$123</c:f>
                <c:numCache>
                  <c:ptCount val="120"/>
                  <c:pt idx="0">
                    <c:v>0.14331007563243955</c:v>
                  </c:pt>
                  <c:pt idx="1">
                    <c:v>0.06951418720106292</c:v>
                  </c:pt>
                  <c:pt idx="2">
                    <c:v>0.10268073496684997</c:v>
                  </c:pt>
                  <c:pt idx="3">
                    <c:v>0.05613475849339534</c:v>
                  </c:pt>
                  <c:pt idx="4">
                    <c:v>0.05411920998027711</c:v>
                  </c:pt>
                  <c:pt idx="5">
                    <c:v>0.06454111523327871</c:v>
                  </c:pt>
                  <c:pt idx="6">
                    <c:v>0.054863466897381995</c:v>
                  </c:pt>
                  <c:pt idx="7">
                    <c:v>0.05601587076691599</c:v>
                  </c:pt>
                  <c:pt idx="8">
                    <c:v>0.1012422836565829</c:v>
                  </c:pt>
                  <c:pt idx="9">
                    <c:v>0.07015063158026971</c:v>
                  </c:pt>
                  <c:pt idx="10">
                    <c:v>NaN</c:v>
                  </c:pt>
                  <c:pt idx="11">
                    <c:v>0.059301489582196436</c:v>
                  </c:pt>
                  <c:pt idx="12">
                    <c:v>0.07677528537521118</c:v>
                  </c:pt>
                  <c:pt idx="13">
                    <c:v>0.1318458696104495</c:v>
                  </c:pt>
                  <c:pt idx="14">
                    <c:v>0.11452316602136875</c:v>
                  </c:pt>
                  <c:pt idx="15">
                    <c:v>NaN</c:v>
                  </c:pt>
                  <c:pt idx="16">
                    <c:v>0.08056053624450746</c:v>
                  </c:pt>
                  <c:pt idx="17">
                    <c:v>0.07694875639741297</c:v>
                  </c:pt>
                  <c:pt idx="18">
                    <c:v>0.0661311827607337</c:v>
                  </c:pt>
                  <c:pt idx="19">
                    <c:v>0.10319345371140742</c:v>
                  </c:pt>
                  <c:pt idx="20">
                    <c:v>0.09942054337229747</c:v>
                  </c:pt>
                  <c:pt idx="21">
                    <c:v>NaN</c:v>
                  </c:pt>
                  <c:pt idx="22">
                    <c:v>0.08748968193134074</c:v>
                  </c:pt>
                  <c:pt idx="23">
                    <c:v>0.16276772816910917</c:v>
                  </c:pt>
                  <c:pt idx="24">
                    <c:v>0.12920268315067204</c:v>
                  </c:pt>
                  <c:pt idx="25">
                    <c:v>0.10031062866028617</c:v>
                  </c:pt>
                  <c:pt idx="26">
                    <c:v>0.12382783747338041</c:v>
                  </c:pt>
                  <c:pt idx="27">
                    <c:v>0.1440717413883361</c:v>
                  </c:pt>
                  <c:pt idx="28">
                    <c:v>NaN</c:v>
                  </c:pt>
                  <c:pt idx="29">
                    <c:v>0.09129317852087052</c:v>
                  </c:pt>
                  <c:pt idx="30">
                    <c:v>0.07894442489642119</c:v>
                  </c:pt>
                  <c:pt idx="31">
                    <c:v>0.06750308634919344</c:v>
                  </c:pt>
                  <c:pt idx="32">
                    <c:v>0.10414199707876895</c:v>
                  </c:pt>
                  <c:pt idx="33">
                    <c:v>NaN</c:v>
                  </c:pt>
                  <c:pt idx="34">
                    <c:v>0.10875047892615534</c:v>
                  </c:pt>
                  <c:pt idx="35">
                    <c:v>0.08482662055956905</c:v>
                  </c:pt>
                  <c:pt idx="36">
                    <c:v>0.06363087999461244</c:v>
                  </c:pt>
                  <c:pt idx="37">
                    <c:v>0.08456424250894684</c:v>
                  </c:pt>
                  <c:pt idx="38">
                    <c:v>0.1158591098417851</c:v>
                  </c:pt>
                  <c:pt idx="39">
                    <c:v>NaN</c:v>
                  </c:pt>
                  <c:pt idx="40">
                    <c:v>0.2053317099502865</c:v>
                  </c:pt>
                  <c:pt idx="41">
                    <c:v>0.13574895129531736</c:v>
                  </c:pt>
                  <c:pt idx="42">
                    <c:v>0.146651514368822</c:v>
                  </c:pt>
                  <c:pt idx="43">
                    <c:v>0.07171703656268863</c:v>
                  </c:pt>
                  <c:pt idx="44">
                    <c:v>0.10488618169764728</c:v>
                  </c:pt>
                  <c:pt idx="45">
                    <c:v>0.06272515001533192</c:v>
                  </c:pt>
                  <c:pt idx="46">
                    <c:v>0.07572611467942159</c:v>
                  </c:pt>
                  <c:pt idx="47">
                    <c:v>0.06719788356456412</c:v>
                  </c:pt>
                  <c:pt idx="48">
                    <c:v>0.07702813338861657</c:v>
                  </c:pt>
                  <c:pt idx="49">
                    <c:v>0.08514040691051239</c:v>
                  </c:pt>
                  <c:pt idx="50">
                    <c:v>0.09049008539920103</c:v>
                  </c:pt>
                  <c:pt idx="51">
                    <c:v>NaN</c:v>
                  </c:pt>
                  <c:pt idx="52">
                    <c:v>0.06850790708620794</c:v>
                  </c:pt>
                  <c:pt idx="53">
                    <c:v>0.07587270040446852</c:v>
                  </c:pt>
                  <c:pt idx="54">
                    <c:v>0.08080154013934153</c:v>
                  </c:pt>
                  <c:pt idx="55">
                    <c:v>0.06436872946808535</c:v>
                  </c:pt>
                  <c:pt idx="56">
                    <c:v>0.06619835513232389</c:v>
                  </c:pt>
                  <c:pt idx="57">
                    <c:v>0.05657836257007719</c:v>
                  </c:pt>
                  <c:pt idx="58">
                    <c:v>0.09510812560215119</c:v>
                  </c:pt>
                  <c:pt idx="59">
                    <c:v>0.07860590874030435</c:v>
                  </c:pt>
                  <c:pt idx="60">
                    <c:v>0.09031426613036375</c:v>
                  </c:pt>
                  <c:pt idx="61">
                    <c:v>0.08422852512328996</c:v>
                  </c:pt>
                  <c:pt idx="62">
                    <c:v>0.07894442489639618</c:v>
                  </c:pt>
                  <c:pt idx="63">
                    <c:v>0.09348202441586541</c:v>
                  </c:pt>
                  <c:pt idx="64">
                    <c:v>0.0545282801244719</c:v>
                  </c:pt>
                  <c:pt idx="65">
                    <c:v>0.147305427221441</c:v>
                  </c:pt>
                  <c:pt idx="66">
                    <c:v>0.06633249580709616</c:v>
                  </c:pt>
                  <c:pt idx="67">
                    <c:v>0.08259674462242034</c:v>
                  </c:pt>
                  <c:pt idx="68">
                    <c:v>0.10803312249284466</c:v>
                  </c:pt>
                  <c:pt idx="69">
                    <c:v>0.08235424835563765</c:v>
                  </c:pt>
                  <c:pt idx="70">
                    <c:v>0.048864893101057516</c:v>
                  </c:pt>
                  <c:pt idx="71">
                    <c:v>0.07294594650225468</c:v>
                  </c:pt>
                  <c:pt idx="72">
                    <c:v>0.066298986082417</c:v>
                  </c:pt>
                  <c:pt idx="73">
                    <c:v>0.12000000000000162</c:v>
                  </c:pt>
                  <c:pt idx="74">
                    <c:v>0.056529245135205554</c:v>
                  </c:pt>
                  <c:pt idx="75">
                    <c:v>0.11195733314279319</c:v>
                  </c:pt>
                  <c:pt idx="76">
                    <c:v>0.08263036837492306</c:v>
                  </c:pt>
                  <c:pt idx="77">
                    <c:v>0.1309622507103126</c:v>
                  </c:pt>
                  <c:pt idx="78">
                    <c:v>0.08171087238957467</c:v>
                  </c:pt>
                  <c:pt idx="79">
                    <c:v>0.16200480102625212</c:v>
                  </c:pt>
                  <c:pt idx="80">
                    <c:v>0.08211780156173124</c:v>
                  </c:pt>
                  <c:pt idx="81">
                    <c:v>0.08556349169540178</c:v>
                  </c:pt>
                  <c:pt idx="82">
                    <c:v>0.05497474167492424</c:v>
                  </c:pt>
                  <c:pt idx="83">
                    <c:v>0.07396695959083632</c:v>
                  </c:pt>
                  <c:pt idx="84">
                    <c:v>0.0733030240394977</c:v>
                  </c:pt>
                  <c:pt idx="85">
                    <c:v>0.06646636576329025</c:v>
                  </c:pt>
                  <c:pt idx="86">
                    <c:v>0.06979334575094852</c:v>
                  </c:pt>
                  <c:pt idx="87">
                    <c:v>0.05947922139518363</c:v>
                  </c:pt>
                  <c:pt idx="88">
                    <c:v>0.0637355648144864</c:v>
                  </c:pt>
                  <c:pt idx="89">
                    <c:v>0.08143845665421844</c:v>
                  </c:pt>
                  <c:pt idx="90">
                    <c:v>0.10239357618739879</c:v>
                  </c:pt>
                  <c:pt idx="91">
                    <c:v>0.0546097264433858</c:v>
                  </c:pt>
                  <c:pt idx="92">
                    <c:v>0.0972053953692366</c:v>
                  </c:pt>
                  <c:pt idx="93">
                    <c:v>0.1662026875033411</c:v>
                  </c:pt>
                  <c:pt idx="94">
                    <c:v>0.06408327915038936</c:v>
                  </c:pt>
                  <c:pt idx="95">
                    <c:v>0.0929814796373788</c:v>
                  </c:pt>
                  <c:pt idx="96">
                    <c:v>0.14301903525211793</c:v>
                  </c:pt>
                  <c:pt idx="97">
                    <c:v>0.11471704319760316</c:v>
                  </c:pt>
                  <c:pt idx="98">
                    <c:v>0.0844327477279344</c:v>
                  </c:pt>
                  <c:pt idx="99">
                    <c:v>0.060046278448836816</c:v>
                  </c:pt>
                  <c:pt idx="100">
                    <c:v>0.08055536398443652</c:v>
                  </c:pt>
                  <c:pt idx="101">
                    <c:v>0.06822348894949833</c:v>
                  </c:pt>
                  <c:pt idx="102">
                    <c:v>0.09693067396625675</c:v>
                  </c:pt>
                  <c:pt idx="103">
                    <c:v>0.13096225071031864</c:v>
                  </c:pt>
                  <c:pt idx="104">
                    <c:v>0.06806043066436886</c:v>
                  </c:pt>
                  <c:pt idx="105">
                    <c:v>0.11097547276563725</c:v>
                  </c:pt>
                  <c:pt idx="106">
                    <c:v>0.07059272861514414</c:v>
                  </c:pt>
                  <c:pt idx="107">
                    <c:v>0.09660917830792325</c:v>
                  </c:pt>
                  <c:pt idx="108">
                    <c:v>0.08569325138733871</c:v>
                  </c:pt>
                  <c:pt idx="109">
                    <c:v>0.08540101482611544</c:v>
                  </c:pt>
                  <c:pt idx="110">
                    <c:v>0.08403702887551932</c:v>
                  </c:pt>
                  <c:pt idx="111">
                    <c:v>0.0678969807870802</c:v>
                  </c:pt>
                  <c:pt idx="112">
                    <c:v>0.05577733510227163</c:v>
                  </c:pt>
                  <c:pt idx="113">
                    <c:v>0.10855106325290448</c:v>
                  </c:pt>
                  <c:pt idx="114">
                    <c:v>0.07874713398664884</c:v>
                  </c:pt>
                  <c:pt idx="115">
                    <c:v>0.07527726527089904</c:v>
                  </c:pt>
                  <c:pt idx="116">
                    <c:v>0.07820912137767314</c:v>
                  </c:pt>
                  <c:pt idx="117">
                    <c:v>0.09073159439922338</c:v>
                  </c:pt>
                  <c:pt idx="118">
                    <c:v>0.07318925239859198</c:v>
                  </c:pt>
                  <c:pt idx="119">
                    <c:v>0.039777157040470114</c:v>
                  </c:pt>
                </c:numCache>
              </c:numRef>
            </c:plus>
            <c:minus>
              <c:numRef>
                <c:f>'Data matrix'!$AY$4:$AY$123</c:f>
                <c:numCache>
                  <c:ptCount val="120"/>
                  <c:pt idx="0">
                    <c:v>0.14331007563243955</c:v>
                  </c:pt>
                  <c:pt idx="1">
                    <c:v>0.06951418720106292</c:v>
                  </c:pt>
                  <c:pt idx="2">
                    <c:v>0.10268073496684997</c:v>
                  </c:pt>
                  <c:pt idx="3">
                    <c:v>0.05613475849339534</c:v>
                  </c:pt>
                  <c:pt idx="4">
                    <c:v>0.05411920998027711</c:v>
                  </c:pt>
                  <c:pt idx="5">
                    <c:v>0.06454111523327871</c:v>
                  </c:pt>
                  <c:pt idx="6">
                    <c:v>0.054863466897381995</c:v>
                  </c:pt>
                  <c:pt idx="7">
                    <c:v>0.05601587076691599</c:v>
                  </c:pt>
                  <c:pt idx="8">
                    <c:v>0.1012422836565829</c:v>
                  </c:pt>
                  <c:pt idx="9">
                    <c:v>0.07015063158026971</c:v>
                  </c:pt>
                  <c:pt idx="10">
                    <c:v>NaN</c:v>
                  </c:pt>
                  <c:pt idx="11">
                    <c:v>0.059301489582196436</c:v>
                  </c:pt>
                  <c:pt idx="12">
                    <c:v>0.07677528537521118</c:v>
                  </c:pt>
                  <c:pt idx="13">
                    <c:v>0.1318458696104495</c:v>
                  </c:pt>
                  <c:pt idx="14">
                    <c:v>0.11452316602136875</c:v>
                  </c:pt>
                  <c:pt idx="15">
                    <c:v>NaN</c:v>
                  </c:pt>
                  <c:pt idx="16">
                    <c:v>0.08056053624450746</c:v>
                  </c:pt>
                  <c:pt idx="17">
                    <c:v>0.07694875639741297</c:v>
                  </c:pt>
                  <c:pt idx="18">
                    <c:v>0.0661311827607337</c:v>
                  </c:pt>
                  <c:pt idx="19">
                    <c:v>0.10319345371140742</c:v>
                  </c:pt>
                  <c:pt idx="20">
                    <c:v>0.09942054337229747</c:v>
                  </c:pt>
                  <c:pt idx="21">
                    <c:v>NaN</c:v>
                  </c:pt>
                  <c:pt idx="22">
                    <c:v>0.08748968193134074</c:v>
                  </c:pt>
                  <c:pt idx="23">
                    <c:v>0.16276772816910917</c:v>
                  </c:pt>
                  <c:pt idx="24">
                    <c:v>0.12920268315067204</c:v>
                  </c:pt>
                  <c:pt idx="25">
                    <c:v>0.10031062866028617</c:v>
                  </c:pt>
                  <c:pt idx="26">
                    <c:v>0.12382783747338041</c:v>
                  </c:pt>
                  <c:pt idx="27">
                    <c:v>0.1440717413883361</c:v>
                  </c:pt>
                  <c:pt idx="28">
                    <c:v>NaN</c:v>
                  </c:pt>
                  <c:pt idx="29">
                    <c:v>0.09129317852087052</c:v>
                  </c:pt>
                  <c:pt idx="30">
                    <c:v>0.07894442489642119</c:v>
                  </c:pt>
                  <c:pt idx="31">
                    <c:v>0.06750308634919344</c:v>
                  </c:pt>
                  <c:pt idx="32">
                    <c:v>0.10414199707876895</c:v>
                  </c:pt>
                  <c:pt idx="33">
                    <c:v>NaN</c:v>
                  </c:pt>
                  <c:pt idx="34">
                    <c:v>0.10875047892615534</c:v>
                  </c:pt>
                  <c:pt idx="35">
                    <c:v>0.08482662055956905</c:v>
                  </c:pt>
                  <c:pt idx="36">
                    <c:v>0.06363087999461244</c:v>
                  </c:pt>
                  <c:pt idx="37">
                    <c:v>0.08456424250894684</c:v>
                  </c:pt>
                  <c:pt idx="38">
                    <c:v>0.1158591098417851</c:v>
                  </c:pt>
                  <c:pt idx="39">
                    <c:v>NaN</c:v>
                  </c:pt>
                  <c:pt idx="40">
                    <c:v>0.2053317099502865</c:v>
                  </c:pt>
                  <c:pt idx="41">
                    <c:v>0.13574895129531736</c:v>
                  </c:pt>
                  <c:pt idx="42">
                    <c:v>0.146651514368822</c:v>
                  </c:pt>
                  <c:pt idx="43">
                    <c:v>0.07171703656268863</c:v>
                  </c:pt>
                  <c:pt idx="44">
                    <c:v>0.10488618169764728</c:v>
                  </c:pt>
                  <c:pt idx="45">
                    <c:v>0.06272515001533192</c:v>
                  </c:pt>
                  <c:pt idx="46">
                    <c:v>0.07572611467942159</c:v>
                  </c:pt>
                  <c:pt idx="47">
                    <c:v>0.06719788356456412</c:v>
                  </c:pt>
                  <c:pt idx="48">
                    <c:v>0.07702813338861657</c:v>
                  </c:pt>
                  <c:pt idx="49">
                    <c:v>0.08514040691051239</c:v>
                  </c:pt>
                  <c:pt idx="50">
                    <c:v>0.09049008539920103</c:v>
                  </c:pt>
                  <c:pt idx="51">
                    <c:v>NaN</c:v>
                  </c:pt>
                  <c:pt idx="52">
                    <c:v>0.06850790708620794</c:v>
                  </c:pt>
                  <c:pt idx="53">
                    <c:v>0.07587270040446852</c:v>
                  </c:pt>
                  <c:pt idx="54">
                    <c:v>0.08080154013934153</c:v>
                  </c:pt>
                  <c:pt idx="55">
                    <c:v>0.06436872946808535</c:v>
                  </c:pt>
                  <c:pt idx="56">
                    <c:v>0.06619835513232389</c:v>
                  </c:pt>
                  <c:pt idx="57">
                    <c:v>0.05657836257007719</c:v>
                  </c:pt>
                  <c:pt idx="58">
                    <c:v>0.09510812560215119</c:v>
                  </c:pt>
                  <c:pt idx="59">
                    <c:v>0.07860590874030435</c:v>
                  </c:pt>
                  <c:pt idx="60">
                    <c:v>0.09031426613036375</c:v>
                  </c:pt>
                  <c:pt idx="61">
                    <c:v>0.08422852512328996</c:v>
                  </c:pt>
                  <c:pt idx="62">
                    <c:v>0.07894442489639618</c:v>
                  </c:pt>
                  <c:pt idx="63">
                    <c:v>0.09348202441586541</c:v>
                  </c:pt>
                  <c:pt idx="64">
                    <c:v>0.0545282801244719</c:v>
                  </c:pt>
                  <c:pt idx="65">
                    <c:v>0.147305427221441</c:v>
                  </c:pt>
                  <c:pt idx="66">
                    <c:v>0.06633249580709616</c:v>
                  </c:pt>
                  <c:pt idx="67">
                    <c:v>0.08259674462242034</c:v>
                  </c:pt>
                  <c:pt idx="68">
                    <c:v>0.10803312249284466</c:v>
                  </c:pt>
                  <c:pt idx="69">
                    <c:v>0.08235424835563765</c:v>
                  </c:pt>
                  <c:pt idx="70">
                    <c:v>0.048864893101057516</c:v>
                  </c:pt>
                  <c:pt idx="71">
                    <c:v>0.07294594650225468</c:v>
                  </c:pt>
                  <c:pt idx="72">
                    <c:v>0.066298986082417</c:v>
                  </c:pt>
                  <c:pt idx="73">
                    <c:v>0.12000000000000162</c:v>
                  </c:pt>
                  <c:pt idx="74">
                    <c:v>0.056529245135205554</c:v>
                  </c:pt>
                  <c:pt idx="75">
                    <c:v>0.11195733314279319</c:v>
                  </c:pt>
                  <c:pt idx="76">
                    <c:v>0.08263036837492306</c:v>
                  </c:pt>
                  <c:pt idx="77">
                    <c:v>0.1309622507103126</c:v>
                  </c:pt>
                  <c:pt idx="78">
                    <c:v>0.08171087238957467</c:v>
                  </c:pt>
                  <c:pt idx="79">
                    <c:v>0.16200480102625212</c:v>
                  </c:pt>
                  <c:pt idx="80">
                    <c:v>0.08211780156173124</c:v>
                  </c:pt>
                  <c:pt idx="81">
                    <c:v>0.08556349169540178</c:v>
                  </c:pt>
                  <c:pt idx="82">
                    <c:v>0.05497474167492424</c:v>
                  </c:pt>
                  <c:pt idx="83">
                    <c:v>0.07396695959083632</c:v>
                  </c:pt>
                  <c:pt idx="84">
                    <c:v>0.0733030240394977</c:v>
                  </c:pt>
                  <c:pt idx="85">
                    <c:v>0.06646636576329025</c:v>
                  </c:pt>
                  <c:pt idx="86">
                    <c:v>0.06979334575094852</c:v>
                  </c:pt>
                  <c:pt idx="87">
                    <c:v>0.05947922139518363</c:v>
                  </c:pt>
                  <c:pt idx="88">
                    <c:v>0.0637355648144864</c:v>
                  </c:pt>
                  <c:pt idx="89">
                    <c:v>0.08143845665421844</c:v>
                  </c:pt>
                  <c:pt idx="90">
                    <c:v>0.10239357618739879</c:v>
                  </c:pt>
                  <c:pt idx="91">
                    <c:v>0.0546097264433858</c:v>
                  </c:pt>
                  <c:pt idx="92">
                    <c:v>0.0972053953692366</c:v>
                  </c:pt>
                  <c:pt idx="93">
                    <c:v>0.1662026875033411</c:v>
                  </c:pt>
                  <c:pt idx="94">
                    <c:v>0.06408327915038936</c:v>
                  </c:pt>
                  <c:pt idx="95">
                    <c:v>0.0929814796373788</c:v>
                  </c:pt>
                  <c:pt idx="96">
                    <c:v>0.14301903525211793</c:v>
                  </c:pt>
                  <c:pt idx="97">
                    <c:v>0.11471704319760316</c:v>
                  </c:pt>
                  <c:pt idx="98">
                    <c:v>0.0844327477279344</c:v>
                  </c:pt>
                  <c:pt idx="99">
                    <c:v>0.060046278448836816</c:v>
                  </c:pt>
                  <c:pt idx="100">
                    <c:v>0.08055536398443652</c:v>
                  </c:pt>
                  <c:pt idx="101">
                    <c:v>0.06822348894949833</c:v>
                  </c:pt>
                  <c:pt idx="102">
                    <c:v>0.09693067396625675</c:v>
                  </c:pt>
                  <c:pt idx="103">
                    <c:v>0.13096225071031864</c:v>
                  </c:pt>
                  <c:pt idx="104">
                    <c:v>0.06806043066436886</c:v>
                  </c:pt>
                  <c:pt idx="105">
                    <c:v>0.11097547276563725</c:v>
                  </c:pt>
                  <c:pt idx="106">
                    <c:v>0.07059272861514414</c:v>
                  </c:pt>
                  <c:pt idx="107">
                    <c:v>0.09660917830792325</c:v>
                  </c:pt>
                  <c:pt idx="108">
                    <c:v>0.08569325138733871</c:v>
                  </c:pt>
                  <c:pt idx="109">
                    <c:v>0.08540101482611544</c:v>
                  </c:pt>
                  <c:pt idx="110">
                    <c:v>0.08403702887551932</c:v>
                  </c:pt>
                  <c:pt idx="111">
                    <c:v>0.0678969807870802</c:v>
                  </c:pt>
                  <c:pt idx="112">
                    <c:v>0.05577733510227163</c:v>
                  </c:pt>
                  <c:pt idx="113">
                    <c:v>0.10855106325290448</c:v>
                  </c:pt>
                  <c:pt idx="114">
                    <c:v>0.07874713398664884</c:v>
                  </c:pt>
                  <c:pt idx="115">
                    <c:v>0.07527726527089904</c:v>
                  </c:pt>
                  <c:pt idx="116">
                    <c:v>0.07820912137767314</c:v>
                  </c:pt>
                  <c:pt idx="117">
                    <c:v>0.09073159439922338</c:v>
                  </c:pt>
                  <c:pt idx="118">
                    <c:v>0.07318925239859198</c:v>
                  </c:pt>
                  <c:pt idx="119">
                    <c:v>0.039777157040470114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'Data matrix'!$AU$4:$AU$123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matrix'!$AX$4:$AX$123</c:f>
              <c:numCache>
                <c:ptCount val="120"/>
                <c:pt idx="0">
                  <c:v>2.5940000000000003</c:v>
                </c:pt>
                <c:pt idx="1">
                  <c:v>2.5989999999999993</c:v>
                </c:pt>
                <c:pt idx="2">
                  <c:v>2.809</c:v>
                </c:pt>
                <c:pt idx="3">
                  <c:v>2.8779999999999997</c:v>
                </c:pt>
                <c:pt idx="4">
                  <c:v>2.322</c:v>
                </c:pt>
                <c:pt idx="5">
                  <c:v>2.339</c:v>
                </c:pt>
                <c:pt idx="6">
                  <c:v>2.1390000000000002</c:v>
                </c:pt>
                <c:pt idx="7">
                  <c:v>2.644</c:v>
                </c:pt>
                <c:pt idx="8">
                  <c:v>2.135</c:v>
                </c:pt>
                <c:pt idx="9">
                  <c:v>2.1590000000000003</c:v>
                </c:pt>
                <c:pt idx="11">
                  <c:v>2.0349999999999997</c:v>
                </c:pt>
                <c:pt idx="12">
                  <c:v>2.4349999999999996</c:v>
                </c:pt>
                <c:pt idx="13">
                  <c:v>2.835</c:v>
                </c:pt>
                <c:pt idx="14">
                  <c:v>2.886</c:v>
                </c:pt>
                <c:pt idx="16">
                  <c:v>3.2269999999999994</c:v>
                </c:pt>
                <c:pt idx="17">
                  <c:v>2.0090000000000003</c:v>
                </c:pt>
                <c:pt idx="18">
                  <c:v>3.052</c:v>
                </c:pt>
                <c:pt idx="19">
                  <c:v>2.854</c:v>
                </c:pt>
                <c:pt idx="20">
                  <c:v>3.098</c:v>
                </c:pt>
                <c:pt idx="22">
                  <c:v>2.7589999999999995</c:v>
                </c:pt>
                <c:pt idx="23">
                  <c:v>3.024</c:v>
                </c:pt>
                <c:pt idx="24">
                  <c:v>2.7640000000000002</c:v>
                </c:pt>
                <c:pt idx="25">
                  <c:v>3.038</c:v>
                </c:pt>
                <c:pt idx="26">
                  <c:v>3.0300000000000002</c:v>
                </c:pt>
                <c:pt idx="27">
                  <c:v>2.907</c:v>
                </c:pt>
                <c:pt idx="29">
                  <c:v>2.777</c:v>
                </c:pt>
                <c:pt idx="30">
                  <c:v>2.8989999999999996</c:v>
                </c:pt>
                <c:pt idx="31">
                  <c:v>2.537</c:v>
                </c:pt>
                <c:pt idx="32">
                  <c:v>2.0930000000000004</c:v>
                </c:pt>
                <c:pt idx="34">
                  <c:v>2.1239999999999997</c:v>
                </c:pt>
                <c:pt idx="35">
                  <c:v>2.0379999999999994</c:v>
                </c:pt>
                <c:pt idx="36">
                  <c:v>3.2039999999999997</c:v>
                </c:pt>
                <c:pt idx="37">
                  <c:v>2.9579999999999997</c:v>
                </c:pt>
                <c:pt idx="38">
                  <c:v>2.6270000000000002</c:v>
                </c:pt>
                <c:pt idx="40">
                  <c:v>2.9250000000000003</c:v>
                </c:pt>
                <c:pt idx="41">
                  <c:v>3.145</c:v>
                </c:pt>
                <c:pt idx="42">
                  <c:v>2.7879999999999994</c:v>
                </c:pt>
                <c:pt idx="43">
                  <c:v>2.381</c:v>
                </c:pt>
                <c:pt idx="44">
                  <c:v>2.783</c:v>
                </c:pt>
                <c:pt idx="45">
                  <c:v>2.693</c:v>
                </c:pt>
                <c:pt idx="46">
                  <c:v>2.8870000000000005</c:v>
                </c:pt>
                <c:pt idx="47">
                  <c:v>2.834</c:v>
                </c:pt>
                <c:pt idx="48">
                  <c:v>3.07</c:v>
                </c:pt>
                <c:pt idx="49">
                  <c:v>3.084</c:v>
                </c:pt>
                <c:pt idx="50">
                  <c:v>3.1027</c:v>
                </c:pt>
                <c:pt idx="52">
                  <c:v>2.244</c:v>
                </c:pt>
                <c:pt idx="53">
                  <c:v>2.243</c:v>
                </c:pt>
                <c:pt idx="54">
                  <c:v>2.122</c:v>
                </c:pt>
                <c:pt idx="55">
                  <c:v>2.211</c:v>
                </c:pt>
                <c:pt idx="56">
                  <c:v>2.1859999999999995</c:v>
                </c:pt>
                <c:pt idx="57">
                  <c:v>2.097</c:v>
                </c:pt>
                <c:pt idx="58">
                  <c:v>2.673</c:v>
                </c:pt>
                <c:pt idx="59">
                  <c:v>2.7369999999999997</c:v>
                </c:pt>
                <c:pt idx="60">
                  <c:v>2.957</c:v>
                </c:pt>
                <c:pt idx="61">
                  <c:v>2.1049999999999995</c:v>
                </c:pt>
                <c:pt idx="62">
                  <c:v>2.2809999999999997</c:v>
                </c:pt>
                <c:pt idx="63">
                  <c:v>2.285</c:v>
                </c:pt>
                <c:pt idx="64">
                  <c:v>2.2380000000000004</c:v>
                </c:pt>
                <c:pt idx="65">
                  <c:v>2.2909999999999995</c:v>
                </c:pt>
                <c:pt idx="66">
                  <c:v>2.47</c:v>
                </c:pt>
                <c:pt idx="67">
                  <c:v>2.1900000000000004</c:v>
                </c:pt>
                <c:pt idx="68">
                  <c:v>2.2466</c:v>
                </c:pt>
                <c:pt idx="69">
                  <c:v>2.466</c:v>
                </c:pt>
                <c:pt idx="70">
                  <c:v>2.311</c:v>
                </c:pt>
                <c:pt idx="71">
                  <c:v>2.101</c:v>
                </c:pt>
                <c:pt idx="72">
                  <c:v>2.2779999999999996</c:v>
                </c:pt>
                <c:pt idx="73">
                  <c:v>2.35</c:v>
                </c:pt>
                <c:pt idx="74">
                  <c:v>2.1919999999999997</c:v>
                </c:pt>
                <c:pt idx="75">
                  <c:v>2.203</c:v>
                </c:pt>
                <c:pt idx="76">
                  <c:v>2.1550000000000002</c:v>
                </c:pt>
                <c:pt idx="77">
                  <c:v>2.942</c:v>
                </c:pt>
                <c:pt idx="78">
                  <c:v>2.7990000000000004</c:v>
                </c:pt>
                <c:pt idx="79">
                  <c:v>2.893</c:v>
                </c:pt>
                <c:pt idx="80">
                  <c:v>2.181</c:v>
                </c:pt>
                <c:pt idx="81">
                  <c:v>2.8609999999999998</c:v>
                </c:pt>
                <c:pt idx="82">
                  <c:v>2.8</c:v>
                </c:pt>
                <c:pt idx="83">
                  <c:v>2.174</c:v>
                </c:pt>
                <c:pt idx="84">
                  <c:v>2.912</c:v>
                </c:pt>
                <c:pt idx="85">
                  <c:v>3.258</c:v>
                </c:pt>
                <c:pt idx="86">
                  <c:v>2.104</c:v>
                </c:pt>
                <c:pt idx="87">
                  <c:v>2.3440000000000003</c:v>
                </c:pt>
                <c:pt idx="88">
                  <c:v>2.598</c:v>
                </c:pt>
                <c:pt idx="89">
                  <c:v>2.789</c:v>
                </c:pt>
                <c:pt idx="90">
                  <c:v>2.278</c:v>
                </c:pt>
                <c:pt idx="91">
                  <c:v>2.6160000000000005</c:v>
                </c:pt>
                <c:pt idx="92">
                  <c:v>2.9059999999999997</c:v>
                </c:pt>
                <c:pt idx="93">
                  <c:v>2.567</c:v>
                </c:pt>
                <c:pt idx="94">
                  <c:v>2.218</c:v>
                </c:pt>
                <c:pt idx="95">
                  <c:v>2.283</c:v>
                </c:pt>
                <c:pt idx="96">
                  <c:v>2.171</c:v>
                </c:pt>
                <c:pt idx="97">
                  <c:v>2.886</c:v>
                </c:pt>
                <c:pt idx="98">
                  <c:v>2.912</c:v>
                </c:pt>
                <c:pt idx="99">
                  <c:v>2.875</c:v>
                </c:pt>
                <c:pt idx="100">
                  <c:v>3.2465</c:v>
                </c:pt>
                <c:pt idx="101">
                  <c:v>2.769</c:v>
                </c:pt>
                <c:pt idx="102">
                  <c:v>2.3980000000000006</c:v>
                </c:pt>
                <c:pt idx="103">
                  <c:v>2.538</c:v>
                </c:pt>
                <c:pt idx="104">
                  <c:v>3.2310000000000003</c:v>
                </c:pt>
                <c:pt idx="105">
                  <c:v>3.196</c:v>
                </c:pt>
                <c:pt idx="106">
                  <c:v>2.9050000000000002</c:v>
                </c:pt>
                <c:pt idx="107">
                  <c:v>2.5100000000000002</c:v>
                </c:pt>
                <c:pt idx="108">
                  <c:v>2.199</c:v>
                </c:pt>
                <c:pt idx="109">
                  <c:v>2.6440000000000006</c:v>
                </c:pt>
                <c:pt idx="110">
                  <c:v>3.0519999999999996</c:v>
                </c:pt>
                <c:pt idx="111">
                  <c:v>2.149</c:v>
                </c:pt>
                <c:pt idx="112">
                  <c:v>3.2199999999999998</c:v>
                </c:pt>
                <c:pt idx="113">
                  <c:v>2.6349999999999993</c:v>
                </c:pt>
                <c:pt idx="114">
                  <c:v>2.097</c:v>
                </c:pt>
                <c:pt idx="115">
                  <c:v>2.8400000000000003</c:v>
                </c:pt>
                <c:pt idx="116">
                  <c:v>2.0149999999999997</c:v>
                </c:pt>
                <c:pt idx="117">
                  <c:v>2.2309999999999994</c:v>
                </c:pt>
                <c:pt idx="118">
                  <c:v>2.817</c:v>
                </c:pt>
                <c:pt idx="119">
                  <c:v>2.6740000000000004</c:v>
                </c:pt>
              </c:numCache>
            </c:numRef>
          </c:val>
        </c:ser>
        <c:axId val="59310970"/>
        <c:axId val="64036683"/>
      </c:bar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Width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grain shape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35"/>
          <c:w val="0.985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'Data matrix'!$BA$4:$BA$123</c:f>
                <c:numCache>
                  <c:ptCount val="120"/>
                  <c:pt idx="0">
                    <c:v>0.11168596675002183</c:v>
                  </c:pt>
                  <c:pt idx="1">
                    <c:v>0.06426727005478364</c:v>
                  </c:pt>
                  <c:pt idx="2">
                    <c:v>0.07001961334221338</c:v>
                  </c:pt>
                  <c:pt idx="3">
                    <c:v>0.07014483001056526</c:v>
                  </c:pt>
                  <c:pt idx="4">
                    <c:v>0.08192346589016788</c:v>
                  </c:pt>
                  <c:pt idx="5">
                    <c:v>0.1848552705092298</c:v>
                  </c:pt>
                  <c:pt idx="6">
                    <c:v>0.12406315877736937</c:v>
                  </c:pt>
                  <c:pt idx="7">
                    <c:v>0.08921800251795425</c:v>
                  </c:pt>
                  <c:pt idx="8">
                    <c:v>0.14165967640590982</c:v>
                  </c:pt>
                  <c:pt idx="9">
                    <c:v>0.2892349665074513</c:v>
                  </c:pt>
                  <c:pt idx="10">
                    <c:v>NaN</c:v>
                  </c:pt>
                  <c:pt idx="11">
                    <c:v>0.1017493303351016</c:v>
                  </c:pt>
                  <c:pt idx="12">
                    <c:v>0.17999358060630297</c:v>
                  </c:pt>
                  <c:pt idx="13">
                    <c:v>0.09407324613893078</c:v>
                  </c:pt>
                  <c:pt idx="14">
                    <c:v>0.07835468485986595</c:v>
                  </c:pt>
                  <c:pt idx="15">
                    <c:v>NaN</c:v>
                  </c:pt>
                  <c:pt idx="16">
                    <c:v>0.0775078978836339</c:v>
                  </c:pt>
                  <c:pt idx="17">
                    <c:v>0.12225102553417139</c:v>
                  </c:pt>
                  <c:pt idx="18">
                    <c:v>0.045402679144834174</c:v>
                  </c:pt>
                  <c:pt idx="19">
                    <c:v>0.05588143833928037</c:v>
                  </c:pt>
                  <c:pt idx="20">
                    <c:v>0.05450997165196968</c:v>
                  </c:pt>
                  <c:pt idx="21">
                    <c:v>NaN</c:v>
                  </c:pt>
                  <c:pt idx="22">
                    <c:v>0.05882935677074319</c:v>
                  </c:pt>
                  <c:pt idx="23">
                    <c:v>0.06994303832724914</c:v>
                  </c:pt>
                  <c:pt idx="24">
                    <c:v>0.036101394660296215</c:v>
                  </c:pt>
                  <c:pt idx="25">
                    <c:v>0.05648673506554938</c:v>
                  </c:pt>
                  <c:pt idx="26">
                    <c:v>0.07369829879586388</c:v>
                  </c:pt>
                  <c:pt idx="27">
                    <c:v>0.09607436655914148</c:v>
                  </c:pt>
                  <c:pt idx="28">
                    <c:v>NaN</c:v>
                  </c:pt>
                  <c:pt idx="29">
                    <c:v>0.0889258707593742</c:v>
                  </c:pt>
                  <c:pt idx="30">
                    <c:v>0.04608606536243816</c:v>
                  </c:pt>
                  <c:pt idx="31">
                    <c:v>0.07677368798614938</c:v>
                  </c:pt>
                  <c:pt idx="32">
                    <c:v>0.13512381046761154</c:v>
                  </c:pt>
                  <c:pt idx="33">
                    <c:v>NaN</c:v>
                  </c:pt>
                  <c:pt idx="34">
                    <c:v>0.06373142193759815</c:v>
                  </c:pt>
                  <c:pt idx="35">
                    <c:v>0.15599965341361643</c:v>
                  </c:pt>
                  <c:pt idx="36">
                    <c:v>0.0698296704546131</c:v>
                  </c:pt>
                  <c:pt idx="37">
                    <c:v>0.07515449052897737</c:v>
                  </c:pt>
                  <c:pt idx="38">
                    <c:v>0.1619029635190398</c:v>
                  </c:pt>
                  <c:pt idx="39">
                    <c:v>NaN</c:v>
                  </c:pt>
                  <c:pt idx="40">
                    <c:v>0.182429762938569</c:v>
                  </c:pt>
                  <c:pt idx="41">
                    <c:v>0.10670754697842515</c:v>
                  </c:pt>
                  <c:pt idx="42">
                    <c:v>0.07020422761526487</c:v>
                  </c:pt>
                  <c:pt idx="43">
                    <c:v>0.10640537654514914</c:v>
                  </c:pt>
                  <c:pt idx="44">
                    <c:v>0.10575413348733768</c:v>
                  </c:pt>
                  <c:pt idx="45">
                    <c:v>0.07252097620535806</c:v>
                  </c:pt>
                  <c:pt idx="46">
                    <c:v>0.07999536205792564</c:v>
                  </c:pt>
                  <c:pt idx="47">
                    <c:v>0.12052950318741927</c:v>
                  </c:pt>
                  <c:pt idx="48">
                    <c:v>0.08420743465936407</c:v>
                  </c:pt>
                  <c:pt idx="49">
                    <c:v>0.10512751430048757</c:v>
                  </c:pt>
                  <c:pt idx="50">
                    <c:v>0.04481311817573041</c:v>
                  </c:pt>
                  <c:pt idx="51">
                    <c:v>NaN</c:v>
                  </c:pt>
                  <c:pt idx="52">
                    <c:v>0.14556724708169128</c:v>
                  </c:pt>
                  <c:pt idx="53">
                    <c:v>0.17781608564140453</c:v>
                  </c:pt>
                  <c:pt idx="54">
                    <c:v>0.19027256804588338</c:v>
                  </c:pt>
                  <c:pt idx="55">
                    <c:v>0.13293222301129914</c:v>
                  </c:pt>
                  <c:pt idx="56">
                    <c:v>0.13434395879271765</c:v>
                  </c:pt>
                  <c:pt idx="57">
                    <c:v>0.0808964483713556</c:v>
                  </c:pt>
                  <c:pt idx="58">
                    <c:v>0.08321518876982541</c:v>
                  </c:pt>
                  <c:pt idx="59">
                    <c:v>0.24342098690474723</c:v>
                  </c:pt>
                  <c:pt idx="60">
                    <c:v>0.05314030941169982</c:v>
                  </c:pt>
                  <c:pt idx="61">
                    <c:v>0.14897825924635447</c:v>
                  </c:pt>
                  <c:pt idx="62">
                    <c:v>0.21461113316232147</c:v>
                  </c:pt>
                  <c:pt idx="63">
                    <c:v>0.13949065850616946</c:v>
                  </c:pt>
                  <c:pt idx="64">
                    <c:v>0.11331906188859384</c:v>
                  </c:pt>
                  <c:pt idx="65">
                    <c:v>0.2862833769394662</c:v>
                  </c:pt>
                  <c:pt idx="66">
                    <c:v>0.10523154911106984</c:v>
                  </c:pt>
                  <c:pt idx="67">
                    <c:v>0.18044364959879955</c:v>
                  </c:pt>
                  <c:pt idx="68">
                    <c:v>0.20608674363936405</c:v>
                  </c:pt>
                  <c:pt idx="69">
                    <c:v>0.1443833052507839</c:v>
                  </c:pt>
                  <c:pt idx="70">
                    <c:v>0.13319217918315818</c:v>
                  </c:pt>
                  <c:pt idx="71">
                    <c:v>0.14503389833172672</c:v>
                  </c:pt>
                  <c:pt idx="72">
                    <c:v>0.13527431683443894</c:v>
                  </c:pt>
                  <c:pt idx="73">
                    <c:v>0.2058201308244557</c:v>
                  </c:pt>
                  <c:pt idx="74">
                    <c:v>0.08838935960977805</c:v>
                  </c:pt>
                  <c:pt idx="75">
                    <c:v>0.13858666677071138</c:v>
                  </c:pt>
                  <c:pt idx="76">
                    <c:v>0.17949868902896643</c:v>
                  </c:pt>
                  <c:pt idx="77">
                    <c:v>0.06670907114473376</c:v>
                  </c:pt>
                  <c:pt idx="78">
                    <c:v>0.060615894677515485</c:v>
                  </c:pt>
                  <c:pt idx="79">
                    <c:v>0.17774772850914486</c:v>
                  </c:pt>
                  <c:pt idx="80">
                    <c:v>0.20483036832092752</c:v>
                  </c:pt>
                  <c:pt idx="81">
                    <c:v>0.08095690506143906</c:v>
                  </c:pt>
                  <c:pt idx="82">
                    <c:v>0.11101744822167345</c:v>
                  </c:pt>
                  <c:pt idx="83">
                    <c:v>0.21792724596405824</c:v>
                  </c:pt>
                  <c:pt idx="84">
                    <c:v>0.08723129092601022</c:v>
                  </c:pt>
                  <c:pt idx="85">
                    <c:v>0.06968767630912195</c:v>
                  </c:pt>
                  <c:pt idx="86">
                    <c:v>0.21629129186282245</c:v>
                  </c:pt>
                  <c:pt idx="87">
                    <c:v>0.11548119022765704</c:v>
                  </c:pt>
                  <c:pt idx="88">
                    <c:v>0.041354439999927925</c:v>
                  </c:pt>
                  <c:pt idx="89">
                    <c:v>0.0861226335152711</c:v>
                  </c:pt>
                  <c:pt idx="90">
                    <c:v>0.29740336035221404</c:v>
                  </c:pt>
                  <c:pt idx="91">
                    <c:v>0.0853750694625243</c:v>
                  </c:pt>
                  <c:pt idx="92">
                    <c:v>0.05971609680865883</c:v>
                  </c:pt>
                  <c:pt idx="93">
                    <c:v>0.11708552366271807</c:v>
                  </c:pt>
                  <c:pt idx="94">
                    <c:v>0.12600240988128933</c:v>
                  </c:pt>
                  <c:pt idx="95">
                    <c:v>0.1140163201158453</c:v>
                  </c:pt>
                  <c:pt idx="96">
                    <c:v>0.4807135754252531</c:v>
                  </c:pt>
                  <c:pt idx="97">
                    <c:v>0.26464867787255975</c:v>
                  </c:pt>
                  <c:pt idx="98">
                    <c:v>0.059993875692554786</c:v>
                  </c:pt>
                  <c:pt idx="99">
                    <c:v>0.07801275787219875</c:v>
                  </c:pt>
                  <c:pt idx="100">
                    <c:v>0.045695679324607476</c:v>
                  </c:pt>
                  <c:pt idx="101">
                    <c:v>0.07714904697430171</c:v>
                  </c:pt>
                  <c:pt idx="102">
                    <c:v>0.0974996261786021</c:v>
                  </c:pt>
                  <c:pt idx="103">
                    <c:v>0.17079730013276656</c:v>
                  </c:pt>
                  <c:pt idx="104">
                    <c:v>0.07589418175696747</c:v>
                  </c:pt>
                  <c:pt idx="105">
                    <c:v>0.07335547303033864</c:v>
                  </c:pt>
                  <c:pt idx="106">
                    <c:v>0.08219600044288404</c:v>
                  </c:pt>
                  <c:pt idx="107">
                    <c:v>0.1479863932764179</c:v>
                  </c:pt>
                  <c:pt idx="108">
                    <c:v>0.0943624997160964</c:v>
                  </c:pt>
                  <c:pt idx="109">
                    <c:v>0.10594722988010899</c:v>
                  </c:pt>
                  <c:pt idx="110">
                    <c:v>0.1896570148057072</c:v>
                  </c:pt>
                  <c:pt idx="111">
                    <c:v>0.12778892950183482</c:v>
                  </c:pt>
                  <c:pt idx="112">
                    <c:v>0.07775866013143934</c:v>
                  </c:pt>
                  <c:pt idx="113">
                    <c:v>0.05863012637918718</c:v>
                  </c:pt>
                  <c:pt idx="114">
                    <c:v>0.15853037014003807</c:v>
                  </c:pt>
                  <c:pt idx="115">
                    <c:v>0.08663242770965227</c:v>
                  </c:pt>
                  <c:pt idx="116">
                    <c:v>0.18850061682077862</c:v>
                  </c:pt>
                  <c:pt idx="117">
                    <c:v>0.12513124187172686</c:v>
                  </c:pt>
                  <c:pt idx="118">
                    <c:v>0.13331877806832562</c:v>
                  </c:pt>
                  <c:pt idx="119">
                    <c:v>0.0776975870169388</c:v>
                  </c:pt>
                </c:numCache>
              </c:numRef>
            </c:plus>
            <c:minus>
              <c:numRef>
                <c:f>'Data matrix'!$BA$4:$BA$123</c:f>
                <c:numCache>
                  <c:ptCount val="120"/>
                  <c:pt idx="0">
                    <c:v>0.11168596675002183</c:v>
                  </c:pt>
                  <c:pt idx="1">
                    <c:v>0.06426727005478364</c:v>
                  </c:pt>
                  <c:pt idx="2">
                    <c:v>0.07001961334221338</c:v>
                  </c:pt>
                  <c:pt idx="3">
                    <c:v>0.07014483001056526</c:v>
                  </c:pt>
                  <c:pt idx="4">
                    <c:v>0.08192346589016788</c:v>
                  </c:pt>
                  <c:pt idx="5">
                    <c:v>0.1848552705092298</c:v>
                  </c:pt>
                  <c:pt idx="6">
                    <c:v>0.12406315877736937</c:v>
                  </c:pt>
                  <c:pt idx="7">
                    <c:v>0.08921800251795425</c:v>
                  </c:pt>
                  <c:pt idx="8">
                    <c:v>0.14165967640590982</c:v>
                  </c:pt>
                  <c:pt idx="9">
                    <c:v>0.2892349665074513</c:v>
                  </c:pt>
                  <c:pt idx="10">
                    <c:v>NaN</c:v>
                  </c:pt>
                  <c:pt idx="11">
                    <c:v>0.1017493303351016</c:v>
                  </c:pt>
                  <c:pt idx="12">
                    <c:v>0.17999358060630297</c:v>
                  </c:pt>
                  <c:pt idx="13">
                    <c:v>0.09407324613893078</c:v>
                  </c:pt>
                  <c:pt idx="14">
                    <c:v>0.07835468485986595</c:v>
                  </c:pt>
                  <c:pt idx="15">
                    <c:v>NaN</c:v>
                  </c:pt>
                  <c:pt idx="16">
                    <c:v>0.0775078978836339</c:v>
                  </c:pt>
                  <c:pt idx="17">
                    <c:v>0.12225102553417139</c:v>
                  </c:pt>
                  <c:pt idx="18">
                    <c:v>0.045402679144834174</c:v>
                  </c:pt>
                  <c:pt idx="19">
                    <c:v>0.05588143833928037</c:v>
                  </c:pt>
                  <c:pt idx="20">
                    <c:v>0.05450997165196968</c:v>
                  </c:pt>
                  <c:pt idx="21">
                    <c:v>NaN</c:v>
                  </c:pt>
                  <c:pt idx="22">
                    <c:v>0.05882935677074319</c:v>
                  </c:pt>
                  <c:pt idx="23">
                    <c:v>0.06994303832724914</c:v>
                  </c:pt>
                  <c:pt idx="24">
                    <c:v>0.036101394660296215</c:v>
                  </c:pt>
                  <c:pt idx="25">
                    <c:v>0.05648673506554938</c:v>
                  </c:pt>
                  <c:pt idx="26">
                    <c:v>0.07369829879586388</c:v>
                  </c:pt>
                  <c:pt idx="27">
                    <c:v>0.09607436655914148</c:v>
                  </c:pt>
                  <c:pt idx="28">
                    <c:v>NaN</c:v>
                  </c:pt>
                  <c:pt idx="29">
                    <c:v>0.0889258707593742</c:v>
                  </c:pt>
                  <c:pt idx="30">
                    <c:v>0.04608606536243816</c:v>
                  </c:pt>
                  <c:pt idx="31">
                    <c:v>0.07677368798614938</c:v>
                  </c:pt>
                  <c:pt idx="32">
                    <c:v>0.13512381046761154</c:v>
                  </c:pt>
                  <c:pt idx="33">
                    <c:v>NaN</c:v>
                  </c:pt>
                  <c:pt idx="34">
                    <c:v>0.06373142193759815</c:v>
                  </c:pt>
                  <c:pt idx="35">
                    <c:v>0.15599965341361643</c:v>
                  </c:pt>
                  <c:pt idx="36">
                    <c:v>0.0698296704546131</c:v>
                  </c:pt>
                  <c:pt idx="37">
                    <c:v>0.07515449052897737</c:v>
                  </c:pt>
                  <c:pt idx="38">
                    <c:v>0.1619029635190398</c:v>
                  </c:pt>
                  <c:pt idx="39">
                    <c:v>NaN</c:v>
                  </c:pt>
                  <c:pt idx="40">
                    <c:v>0.182429762938569</c:v>
                  </c:pt>
                  <c:pt idx="41">
                    <c:v>0.10670754697842515</c:v>
                  </c:pt>
                  <c:pt idx="42">
                    <c:v>0.07020422761526487</c:v>
                  </c:pt>
                  <c:pt idx="43">
                    <c:v>0.10640537654514914</c:v>
                  </c:pt>
                  <c:pt idx="44">
                    <c:v>0.10575413348733768</c:v>
                  </c:pt>
                  <c:pt idx="45">
                    <c:v>0.07252097620535806</c:v>
                  </c:pt>
                  <c:pt idx="46">
                    <c:v>0.07999536205792564</c:v>
                  </c:pt>
                  <c:pt idx="47">
                    <c:v>0.12052950318741927</c:v>
                  </c:pt>
                  <c:pt idx="48">
                    <c:v>0.08420743465936407</c:v>
                  </c:pt>
                  <c:pt idx="49">
                    <c:v>0.10512751430048757</c:v>
                  </c:pt>
                  <c:pt idx="50">
                    <c:v>0.04481311817573041</c:v>
                  </c:pt>
                  <c:pt idx="51">
                    <c:v>NaN</c:v>
                  </c:pt>
                  <c:pt idx="52">
                    <c:v>0.14556724708169128</c:v>
                  </c:pt>
                  <c:pt idx="53">
                    <c:v>0.17781608564140453</c:v>
                  </c:pt>
                  <c:pt idx="54">
                    <c:v>0.19027256804588338</c:v>
                  </c:pt>
                  <c:pt idx="55">
                    <c:v>0.13293222301129914</c:v>
                  </c:pt>
                  <c:pt idx="56">
                    <c:v>0.13434395879271765</c:v>
                  </c:pt>
                  <c:pt idx="57">
                    <c:v>0.0808964483713556</c:v>
                  </c:pt>
                  <c:pt idx="58">
                    <c:v>0.08321518876982541</c:v>
                  </c:pt>
                  <c:pt idx="59">
                    <c:v>0.24342098690474723</c:v>
                  </c:pt>
                  <c:pt idx="60">
                    <c:v>0.05314030941169982</c:v>
                  </c:pt>
                  <c:pt idx="61">
                    <c:v>0.14897825924635447</c:v>
                  </c:pt>
                  <c:pt idx="62">
                    <c:v>0.21461113316232147</c:v>
                  </c:pt>
                  <c:pt idx="63">
                    <c:v>0.13949065850616946</c:v>
                  </c:pt>
                  <c:pt idx="64">
                    <c:v>0.11331906188859384</c:v>
                  </c:pt>
                  <c:pt idx="65">
                    <c:v>0.2862833769394662</c:v>
                  </c:pt>
                  <c:pt idx="66">
                    <c:v>0.10523154911106984</c:v>
                  </c:pt>
                  <c:pt idx="67">
                    <c:v>0.18044364959879955</c:v>
                  </c:pt>
                  <c:pt idx="68">
                    <c:v>0.20608674363936405</c:v>
                  </c:pt>
                  <c:pt idx="69">
                    <c:v>0.1443833052507839</c:v>
                  </c:pt>
                  <c:pt idx="70">
                    <c:v>0.13319217918315818</c:v>
                  </c:pt>
                  <c:pt idx="71">
                    <c:v>0.14503389833172672</c:v>
                  </c:pt>
                  <c:pt idx="72">
                    <c:v>0.13527431683443894</c:v>
                  </c:pt>
                  <c:pt idx="73">
                    <c:v>0.2058201308244557</c:v>
                  </c:pt>
                  <c:pt idx="74">
                    <c:v>0.08838935960977805</c:v>
                  </c:pt>
                  <c:pt idx="75">
                    <c:v>0.13858666677071138</c:v>
                  </c:pt>
                  <c:pt idx="76">
                    <c:v>0.17949868902896643</c:v>
                  </c:pt>
                  <c:pt idx="77">
                    <c:v>0.06670907114473376</c:v>
                  </c:pt>
                  <c:pt idx="78">
                    <c:v>0.060615894677515485</c:v>
                  </c:pt>
                  <c:pt idx="79">
                    <c:v>0.17774772850914486</c:v>
                  </c:pt>
                  <c:pt idx="80">
                    <c:v>0.20483036832092752</c:v>
                  </c:pt>
                  <c:pt idx="81">
                    <c:v>0.08095690506143906</c:v>
                  </c:pt>
                  <c:pt idx="82">
                    <c:v>0.11101744822167345</c:v>
                  </c:pt>
                  <c:pt idx="83">
                    <c:v>0.21792724596405824</c:v>
                  </c:pt>
                  <c:pt idx="84">
                    <c:v>0.08723129092601022</c:v>
                  </c:pt>
                  <c:pt idx="85">
                    <c:v>0.06968767630912195</c:v>
                  </c:pt>
                  <c:pt idx="86">
                    <c:v>0.21629129186282245</c:v>
                  </c:pt>
                  <c:pt idx="87">
                    <c:v>0.11548119022765704</c:v>
                  </c:pt>
                  <c:pt idx="88">
                    <c:v>0.041354439999927925</c:v>
                  </c:pt>
                  <c:pt idx="89">
                    <c:v>0.0861226335152711</c:v>
                  </c:pt>
                  <c:pt idx="90">
                    <c:v>0.29740336035221404</c:v>
                  </c:pt>
                  <c:pt idx="91">
                    <c:v>0.0853750694625243</c:v>
                  </c:pt>
                  <c:pt idx="92">
                    <c:v>0.05971609680865883</c:v>
                  </c:pt>
                  <c:pt idx="93">
                    <c:v>0.11708552366271807</c:v>
                  </c:pt>
                  <c:pt idx="94">
                    <c:v>0.12600240988128933</c:v>
                  </c:pt>
                  <c:pt idx="95">
                    <c:v>0.1140163201158453</c:v>
                  </c:pt>
                  <c:pt idx="96">
                    <c:v>0.4807135754252531</c:v>
                  </c:pt>
                  <c:pt idx="97">
                    <c:v>0.26464867787255975</c:v>
                  </c:pt>
                  <c:pt idx="98">
                    <c:v>0.059993875692554786</c:v>
                  </c:pt>
                  <c:pt idx="99">
                    <c:v>0.07801275787219875</c:v>
                  </c:pt>
                  <c:pt idx="100">
                    <c:v>0.045695679324607476</c:v>
                  </c:pt>
                  <c:pt idx="101">
                    <c:v>0.07714904697430171</c:v>
                  </c:pt>
                  <c:pt idx="102">
                    <c:v>0.0974996261786021</c:v>
                  </c:pt>
                  <c:pt idx="103">
                    <c:v>0.17079730013276656</c:v>
                  </c:pt>
                  <c:pt idx="104">
                    <c:v>0.07589418175696747</c:v>
                  </c:pt>
                  <c:pt idx="105">
                    <c:v>0.07335547303033864</c:v>
                  </c:pt>
                  <c:pt idx="106">
                    <c:v>0.08219600044288404</c:v>
                  </c:pt>
                  <c:pt idx="107">
                    <c:v>0.1479863932764179</c:v>
                  </c:pt>
                  <c:pt idx="108">
                    <c:v>0.0943624997160964</c:v>
                  </c:pt>
                  <c:pt idx="109">
                    <c:v>0.10594722988010899</c:v>
                  </c:pt>
                  <c:pt idx="110">
                    <c:v>0.1896570148057072</c:v>
                  </c:pt>
                  <c:pt idx="111">
                    <c:v>0.12778892950183482</c:v>
                  </c:pt>
                  <c:pt idx="112">
                    <c:v>0.07775866013143934</c:v>
                  </c:pt>
                  <c:pt idx="113">
                    <c:v>0.05863012637918718</c:v>
                  </c:pt>
                  <c:pt idx="114">
                    <c:v>0.15853037014003807</c:v>
                  </c:pt>
                  <c:pt idx="115">
                    <c:v>0.08663242770965227</c:v>
                  </c:pt>
                  <c:pt idx="116">
                    <c:v>0.18850061682077862</c:v>
                  </c:pt>
                  <c:pt idx="117">
                    <c:v>0.12513124187172686</c:v>
                  </c:pt>
                  <c:pt idx="118">
                    <c:v>0.13331877806832562</c:v>
                  </c:pt>
                  <c:pt idx="119">
                    <c:v>0.0776975870169388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'Data matrix'!$AU$4:$AU$123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matrix'!$AZ$4:$AZ$123</c:f>
              <c:numCache>
                <c:ptCount val="120"/>
                <c:pt idx="0">
                  <c:v>2.5675188624170397</c:v>
                </c:pt>
                <c:pt idx="1">
                  <c:v>2.541105558047459</c:v>
                </c:pt>
                <c:pt idx="2">
                  <c:v>2.137677521863517</c:v>
                </c:pt>
                <c:pt idx="3">
                  <c:v>1.6664061305711546</c:v>
                </c:pt>
                <c:pt idx="4">
                  <c:v>3.0482416278489453</c:v>
                </c:pt>
                <c:pt idx="5">
                  <c:v>2.9395106272323988</c:v>
                </c:pt>
                <c:pt idx="6">
                  <c:v>3.184250625084981</c:v>
                </c:pt>
                <c:pt idx="7">
                  <c:v>2.785331817750357</c:v>
                </c:pt>
                <c:pt idx="8">
                  <c:v>3.397204191151178</c:v>
                </c:pt>
                <c:pt idx="9">
                  <c:v>2.9823944325728275</c:v>
                </c:pt>
                <c:pt idx="11">
                  <c:v>3.226198939548651</c:v>
                </c:pt>
                <c:pt idx="12">
                  <c:v>2.922176100672184</c:v>
                </c:pt>
                <c:pt idx="13">
                  <c:v>2.618450007669291</c:v>
                </c:pt>
                <c:pt idx="14">
                  <c:v>2.038400508417383</c:v>
                </c:pt>
                <c:pt idx="16">
                  <c:v>1.8368009833618324</c:v>
                </c:pt>
                <c:pt idx="17">
                  <c:v>3.6028536483771227</c:v>
                </c:pt>
                <c:pt idx="18">
                  <c:v>1.8964105471100705</c:v>
                </c:pt>
                <c:pt idx="19">
                  <c:v>1.8222189193060871</c:v>
                </c:pt>
                <c:pt idx="20">
                  <c:v>1.6946715301512298</c:v>
                </c:pt>
                <c:pt idx="22">
                  <c:v>2.0380069848049196</c:v>
                </c:pt>
                <c:pt idx="23">
                  <c:v>1.6422072113189565</c:v>
                </c:pt>
                <c:pt idx="24">
                  <c:v>1.7693703156038947</c:v>
                </c:pt>
                <c:pt idx="25">
                  <c:v>1.732233776050392</c:v>
                </c:pt>
                <c:pt idx="26">
                  <c:v>1.8545980908507267</c:v>
                </c:pt>
                <c:pt idx="27">
                  <c:v>1.9338930648888049</c:v>
                </c:pt>
                <c:pt idx="29">
                  <c:v>2.4289607225504315</c:v>
                </c:pt>
                <c:pt idx="30">
                  <c:v>1.9496295485998831</c:v>
                </c:pt>
                <c:pt idx="31">
                  <c:v>2.481884727801985</c:v>
                </c:pt>
                <c:pt idx="32">
                  <c:v>3.18595322125006</c:v>
                </c:pt>
                <c:pt idx="34">
                  <c:v>3.051405354579909</c:v>
                </c:pt>
                <c:pt idx="35">
                  <c:v>3.365337969990764</c:v>
                </c:pt>
                <c:pt idx="36">
                  <c:v>1.626858789201013</c:v>
                </c:pt>
                <c:pt idx="37">
                  <c:v>1.959139602699708</c:v>
                </c:pt>
                <c:pt idx="38">
                  <c:v>3.19631757627129</c:v>
                </c:pt>
                <c:pt idx="40">
                  <c:v>2.114655013450493</c:v>
                </c:pt>
                <c:pt idx="41">
                  <c:v>2.103702979448559</c:v>
                </c:pt>
                <c:pt idx="42">
                  <c:v>2.398960590762134</c:v>
                </c:pt>
                <c:pt idx="43">
                  <c:v>3.190005355591334</c:v>
                </c:pt>
                <c:pt idx="44">
                  <c:v>2.4070848554655524</c:v>
                </c:pt>
                <c:pt idx="45">
                  <c:v>1.9357150641862428</c:v>
                </c:pt>
                <c:pt idx="46">
                  <c:v>2.026676448575023</c:v>
                </c:pt>
                <c:pt idx="47">
                  <c:v>2.307017745135071</c:v>
                </c:pt>
                <c:pt idx="48">
                  <c:v>1.7049547229536561</c:v>
                </c:pt>
                <c:pt idx="49">
                  <c:v>2.178455431618557</c:v>
                </c:pt>
                <c:pt idx="50">
                  <c:v>2.086480859776437</c:v>
                </c:pt>
                <c:pt idx="52">
                  <c:v>3.604380596445965</c:v>
                </c:pt>
                <c:pt idx="53">
                  <c:v>3.5383907228974416</c:v>
                </c:pt>
                <c:pt idx="54">
                  <c:v>3.6018637894168783</c:v>
                </c:pt>
                <c:pt idx="55">
                  <c:v>3.4721940422970334</c:v>
                </c:pt>
                <c:pt idx="56">
                  <c:v>3.2513240565276447</c:v>
                </c:pt>
                <c:pt idx="57">
                  <c:v>3.323727748697281</c:v>
                </c:pt>
                <c:pt idx="58">
                  <c:v>2.4399934990880294</c:v>
                </c:pt>
                <c:pt idx="59">
                  <c:v>2.142797107116184</c:v>
                </c:pt>
                <c:pt idx="60">
                  <c:v>1.6886544444317864</c:v>
                </c:pt>
                <c:pt idx="61">
                  <c:v>3.4065165678969778</c:v>
                </c:pt>
                <c:pt idx="62">
                  <c:v>3.064773489694037</c:v>
                </c:pt>
                <c:pt idx="63">
                  <c:v>2.806950914605825</c:v>
                </c:pt>
                <c:pt idx="64">
                  <c:v>2.7790374409161047</c:v>
                </c:pt>
                <c:pt idx="65">
                  <c:v>3.023638419035752</c:v>
                </c:pt>
                <c:pt idx="66">
                  <c:v>3.0990433047293715</c:v>
                </c:pt>
                <c:pt idx="67">
                  <c:v>3.129135665091493</c:v>
                </c:pt>
                <c:pt idx="68">
                  <c:v>2.9439238724306014</c:v>
                </c:pt>
                <c:pt idx="69">
                  <c:v>2.69238567016262</c:v>
                </c:pt>
                <c:pt idx="70">
                  <c:v>3.032805369006867</c:v>
                </c:pt>
                <c:pt idx="71">
                  <c:v>3.419632516277818</c:v>
                </c:pt>
                <c:pt idx="72">
                  <c:v>3.311549885458107</c:v>
                </c:pt>
                <c:pt idx="73">
                  <c:v>3.08773074536574</c:v>
                </c:pt>
                <c:pt idx="74">
                  <c:v>3.29030572945661</c:v>
                </c:pt>
                <c:pt idx="75">
                  <c:v>3.2592125310094375</c:v>
                </c:pt>
                <c:pt idx="76">
                  <c:v>3.034577463304459</c:v>
                </c:pt>
                <c:pt idx="77">
                  <c:v>2.053985016212027</c:v>
                </c:pt>
                <c:pt idx="78">
                  <c:v>2.167794168910022</c:v>
                </c:pt>
                <c:pt idx="79">
                  <c:v>2.0842978860779344</c:v>
                </c:pt>
                <c:pt idx="80">
                  <c:v>3.0599905325233014</c:v>
                </c:pt>
                <c:pt idx="81">
                  <c:v>2.2979746912939363</c:v>
                </c:pt>
                <c:pt idx="82">
                  <c:v>1.9751360637840587</c:v>
                </c:pt>
                <c:pt idx="83">
                  <c:v>3.309432832814335</c:v>
                </c:pt>
                <c:pt idx="84">
                  <c:v>1.7647789699017977</c:v>
                </c:pt>
                <c:pt idx="85">
                  <c:v>1.6668822293441619</c:v>
                </c:pt>
                <c:pt idx="86">
                  <c:v>3.4359304724042223</c:v>
                </c:pt>
                <c:pt idx="87">
                  <c:v>2.913540870687577</c:v>
                </c:pt>
                <c:pt idx="88">
                  <c:v>2.555735776313128</c:v>
                </c:pt>
                <c:pt idx="89">
                  <c:v>2.2150765957837364</c:v>
                </c:pt>
                <c:pt idx="90">
                  <c:v>3.225664028740455</c:v>
                </c:pt>
                <c:pt idx="91">
                  <c:v>2.5294727507368764</c:v>
                </c:pt>
                <c:pt idx="92">
                  <c:v>1.7962880274944708</c:v>
                </c:pt>
                <c:pt idx="93">
                  <c:v>2.02305302146216</c:v>
                </c:pt>
                <c:pt idx="94">
                  <c:v>3.4412574130794296</c:v>
                </c:pt>
                <c:pt idx="95">
                  <c:v>3.0430635903611076</c:v>
                </c:pt>
                <c:pt idx="96">
                  <c:v>3.2374362063453797</c:v>
                </c:pt>
                <c:pt idx="97">
                  <c:v>2.396774399521032</c:v>
                </c:pt>
                <c:pt idx="98">
                  <c:v>1.9170852643285614</c:v>
                </c:pt>
                <c:pt idx="99">
                  <c:v>1.8372394162115941</c:v>
                </c:pt>
                <c:pt idx="100">
                  <c:v>1.5523771024736057</c:v>
                </c:pt>
                <c:pt idx="101">
                  <c:v>2.3314787529749887</c:v>
                </c:pt>
                <c:pt idx="102">
                  <c:v>2.6998758482018532</c:v>
                </c:pt>
                <c:pt idx="103">
                  <c:v>2.72733276211672</c:v>
                </c:pt>
                <c:pt idx="104">
                  <c:v>2.252652475749932</c:v>
                </c:pt>
                <c:pt idx="105">
                  <c:v>2.1451798180519055</c:v>
                </c:pt>
                <c:pt idx="106">
                  <c:v>2.136299239721237</c:v>
                </c:pt>
                <c:pt idx="107">
                  <c:v>2.488672372388069</c:v>
                </c:pt>
                <c:pt idx="108">
                  <c:v>3.2356017868746845</c:v>
                </c:pt>
                <c:pt idx="109">
                  <c:v>2.4559598251216213</c:v>
                </c:pt>
                <c:pt idx="110">
                  <c:v>1.7166048151395086</c:v>
                </c:pt>
                <c:pt idx="111">
                  <c:v>3.4023764700737495</c:v>
                </c:pt>
                <c:pt idx="112">
                  <c:v>1.8939294291165307</c:v>
                </c:pt>
                <c:pt idx="113">
                  <c:v>2.661072962692878</c:v>
                </c:pt>
                <c:pt idx="114">
                  <c:v>3.279555683099421</c:v>
                </c:pt>
                <c:pt idx="115">
                  <c:v>1.9739698149187621</c:v>
                </c:pt>
                <c:pt idx="116">
                  <c:v>3.13425375898183</c:v>
                </c:pt>
                <c:pt idx="117">
                  <c:v>3.0693419365768646</c:v>
                </c:pt>
                <c:pt idx="118">
                  <c:v>2.142814132932056</c:v>
                </c:pt>
                <c:pt idx="119">
                  <c:v>2.6184042462701673</c:v>
                </c:pt>
              </c:numCache>
            </c:numRef>
          </c:val>
        </c:ser>
        <c:axId val="39459236"/>
        <c:axId val="19588805"/>
      </c:bar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 (l/w)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Milling yield</a:t>
            </a:r>
          </a:p>
        </c:rich>
      </c:tx>
      <c:layout>
        <c:manualLayout>
          <c:xMode val="factor"/>
          <c:yMode val="factor"/>
          <c:x val="-0.0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35"/>
          <c:w val="0.985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matrix'!$AU$4:$AU$123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matrix'!$BD$4:$BD$123</c:f>
              <c:numCache>
                <c:ptCount val="120"/>
                <c:pt idx="0">
                  <c:v>0.7155405405405405</c:v>
                </c:pt>
                <c:pt idx="1">
                  <c:v>0.6952005730659025</c:v>
                </c:pt>
                <c:pt idx="2">
                  <c:v>0.71398891966759</c:v>
                </c:pt>
                <c:pt idx="3">
                  <c:v>0.7276166456494325</c:v>
                </c:pt>
                <c:pt idx="4">
                  <c:v>0.7007419620774937</c:v>
                </c:pt>
                <c:pt idx="5">
                  <c:v>0.6946975973487987</c:v>
                </c:pt>
                <c:pt idx="6">
                  <c:v>0.7301587301587302</c:v>
                </c:pt>
                <c:pt idx="7">
                  <c:v>0.7010472865756903</c:v>
                </c:pt>
                <c:pt idx="8">
                  <c:v>0.6626814688300597</c:v>
                </c:pt>
                <c:pt idx="9">
                  <c:v>0.6612440191387561</c:v>
                </c:pt>
                <c:pt idx="11">
                  <c:v>0.6755319148936171</c:v>
                </c:pt>
                <c:pt idx="12">
                  <c:v>0.7073446327683616</c:v>
                </c:pt>
                <c:pt idx="13">
                  <c:v>0.6825825825825826</c:v>
                </c:pt>
                <c:pt idx="14">
                  <c:v>0.6425438596491228</c:v>
                </c:pt>
                <c:pt idx="16">
                  <c:v>0.6383502616189596</c:v>
                </c:pt>
                <c:pt idx="17">
                  <c:v>0.7291479820627803</c:v>
                </c:pt>
                <c:pt idx="18">
                  <c:v>0.6758620689655171</c:v>
                </c:pt>
                <c:pt idx="19">
                  <c:v>0.6994720965309201</c:v>
                </c:pt>
                <c:pt idx="20">
                  <c:v>0.6817720662833954</c:v>
                </c:pt>
                <c:pt idx="22">
                  <c:v>0.7113243761996162</c:v>
                </c:pt>
                <c:pt idx="23">
                  <c:v>0.6886828891463885</c:v>
                </c:pt>
                <c:pt idx="24">
                  <c:v>0.7188306104901117</c:v>
                </c:pt>
                <c:pt idx="25">
                  <c:v>0.7040082219938335</c:v>
                </c:pt>
                <c:pt idx="26">
                  <c:v>0.6724464060529634</c:v>
                </c:pt>
                <c:pt idx="27">
                  <c:v>0.6797791580400275</c:v>
                </c:pt>
                <c:pt idx="29">
                  <c:v>0.701935914552737</c:v>
                </c:pt>
                <c:pt idx="30">
                  <c:v>0.6849415204678362</c:v>
                </c:pt>
                <c:pt idx="31">
                  <c:v>0.7100290697674418</c:v>
                </c:pt>
                <c:pt idx="32">
                  <c:v>0.7302925136341101</c:v>
                </c:pt>
                <c:pt idx="34">
                  <c:v>0.6967418546365913</c:v>
                </c:pt>
                <c:pt idx="35">
                  <c:v>0.7073170731707317</c:v>
                </c:pt>
                <c:pt idx="36">
                  <c:v>0.6696517412935324</c:v>
                </c:pt>
                <c:pt idx="37">
                  <c:v>0.6917525773195876</c:v>
                </c:pt>
                <c:pt idx="38">
                  <c:v>0.67254540668597</c:v>
                </c:pt>
                <c:pt idx="40">
                  <c:v>0.6861910994764397</c:v>
                </c:pt>
                <c:pt idx="41">
                  <c:v>0.6623448275862069</c:v>
                </c:pt>
                <c:pt idx="42">
                  <c:v>0.7219284603421462</c:v>
                </c:pt>
                <c:pt idx="43">
                  <c:v>0.698452680820439</c:v>
                </c:pt>
                <c:pt idx="44">
                  <c:v>0.7228838107499196</c:v>
                </c:pt>
                <c:pt idx="45">
                  <c:v>0.6787827557058326</c:v>
                </c:pt>
                <c:pt idx="46">
                  <c:v>0.6752136752136753</c:v>
                </c:pt>
                <c:pt idx="47">
                  <c:v>0.7048377219840785</c:v>
                </c:pt>
                <c:pt idx="48">
                  <c:v>0.6945592286501379</c:v>
                </c:pt>
                <c:pt idx="49">
                  <c:v>0.664440734557596</c:v>
                </c:pt>
                <c:pt idx="50">
                  <c:v>0.6552498596294217</c:v>
                </c:pt>
                <c:pt idx="52">
                  <c:v>0.7011414735385679</c:v>
                </c:pt>
                <c:pt idx="53">
                  <c:v>0.6818873668188737</c:v>
                </c:pt>
                <c:pt idx="54">
                  <c:v>0.6738578680203046</c:v>
                </c:pt>
                <c:pt idx="55">
                  <c:v>0.7240168539325843</c:v>
                </c:pt>
                <c:pt idx="56">
                  <c:v>0.7266553480475383</c:v>
                </c:pt>
                <c:pt idx="57">
                  <c:v>0.7235494880546074</c:v>
                </c:pt>
                <c:pt idx="58">
                  <c:v>0.7121984369690793</c:v>
                </c:pt>
                <c:pt idx="59">
                  <c:v>0.7179585571757483</c:v>
                </c:pt>
                <c:pt idx="60">
                  <c:v>0.6672946495855313</c:v>
                </c:pt>
                <c:pt idx="61">
                  <c:v>0.7032640949554896</c:v>
                </c:pt>
                <c:pt idx="62">
                  <c:v>0.6991078669910786</c:v>
                </c:pt>
                <c:pt idx="63">
                  <c:v>0.7130358705161856</c:v>
                </c:pt>
                <c:pt idx="64">
                  <c:v>0.7142857142857143</c:v>
                </c:pt>
                <c:pt idx="65">
                  <c:v>0.7186261558784677</c:v>
                </c:pt>
                <c:pt idx="66">
                  <c:v>0.7029220779220778</c:v>
                </c:pt>
                <c:pt idx="67">
                  <c:v>0.7079142982072585</c:v>
                </c:pt>
                <c:pt idx="68">
                  <c:v>0.7215582115980522</c:v>
                </c:pt>
                <c:pt idx="69">
                  <c:v>0.7187617969044923</c:v>
                </c:pt>
                <c:pt idx="70">
                  <c:v>0.6698028673835125</c:v>
                </c:pt>
                <c:pt idx="71">
                  <c:v>0.7108225108225108</c:v>
                </c:pt>
                <c:pt idx="72">
                  <c:v>0.7049387927395525</c:v>
                </c:pt>
                <c:pt idx="73">
                  <c:v>0.7255334805003679</c:v>
                </c:pt>
                <c:pt idx="74">
                  <c:v>0.7015437392795884</c:v>
                </c:pt>
                <c:pt idx="75">
                  <c:v>0.7091703056768559</c:v>
                </c:pt>
                <c:pt idx="76">
                  <c:v>0.7147982062780268</c:v>
                </c:pt>
                <c:pt idx="77">
                  <c:v>0.7030124426981008</c:v>
                </c:pt>
                <c:pt idx="78">
                  <c:v>0.7068645640074211</c:v>
                </c:pt>
                <c:pt idx="79">
                  <c:v>0.7029605263157895</c:v>
                </c:pt>
                <c:pt idx="80">
                  <c:v>0.7105954465849387</c:v>
                </c:pt>
                <c:pt idx="81">
                  <c:v>0.7007899934167215</c:v>
                </c:pt>
                <c:pt idx="82">
                  <c:v>0.6425269645608628</c:v>
                </c:pt>
                <c:pt idx="83">
                  <c:v>0.6966086159486709</c:v>
                </c:pt>
                <c:pt idx="84">
                  <c:v>0.6917057902973396</c:v>
                </c:pt>
                <c:pt idx="85">
                  <c:v>0.6868624420401854</c:v>
                </c:pt>
                <c:pt idx="86">
                  <c:v>0.6905468418821534</c:v>
                </c:pt>
                <c:pt idx="87">
                  <c:v>0.7132721202003338</c:v>
                </c:pt>
                <c:pt idx="88">
                  <c:v>0.7047487955953201</c:v>
                </c:pt>
                <c:pt idx="89">
                  <c:v>0.7051451187335092</c:v>
                </c:pt>
                <c:pt idx="90">
                  <c:v>0.7036363636363637</c:v>
                </c:pt>
                <c:pt idx="91">
                  <c:v>0.7131432545201669</c:v>
                </c:pt>
                <c:pt idx="92">
                  <c:v>0.711566617862372</c:v>
                </c:pt>
                <c:pt idx="93">
                  <c:v>0.6858219500706547</c:v>
                </c:pt>
                <c:pt idx="94">
                  <c:v>0.7163408336407231</c:v>
                </c:pt>
                <c:pt idx="95">
                  <c:v>0.6896551724137931</c:v>
                </c:pt>
                <c:pt idx="96">
                  <c:v>0.705026455026455</c:v>
                </c:pt>
                <c:pt idx="97">
                  <c:v>0.6729110912875408</c:v>
                </c:pt>
                <c:pt idx="98">
                  <c:v>0.7066280333212605</c:v>
                </c:pt>
                <c:pt idx="99">
                  <c:v>0.7163323782234957</c:v>
                </c:pt>
                <c:pt idx="100">
                  <c:v>0.6784188034188035</c:v>
                </c:pt>
                <c:pt idx="101">
                  <c:v>0.7015374331550801</c:v>
                </c:pt>
                <c:pt idx="102">
                  <c:v>0.7081770442610652</c:v>
                </c:pt>
                <c:pt idx="103">
                  <c:v>0.6631033365727242</c:v>
                </c:pt>
                <c:pt idx="104">
                  <c:v>0.67823571945047</c:v>
                </c:pt>
                <c:pt idx="105">
                  <c:v>0.6681578947368422</c:v>
                </c:pt>
                <c:pt idx="106">
                  <c:v>0.6851265822784809</c:v>
                </c:pt>
                <c:pt idx="107">
                  <c:v>0.7136240833654959</c:v>
                </c:pt>
                <c:pt idx="108">
                  <c:v>0.7006394884092726</c:v>
                </c:pt>
                <c:pt idx="109">
                  <c:v>0.7180373185901866</c:v>
                </c:pt>
                <c:pt idx="110">
                  <c:v>0.7207509218907141</c:v>
                </c:pt>
                <c:pt idx="111">
                  <c:v>0.7126534066864156</c:v>
                </c:pt>
                <c:pt idx="112">
                  <c:v>0.6989987484355444</c:v>
                </c:pt>
                <c:pt idx="113">
                  <c:v>0.7041441441441442</c:v>
                </c:pt>
                <c:pt idx="114">
                  <c:v>0.7126848946660691</c:v>
                </c:pt>
                <c:pt idx="115">
                  <c:v>0.6976264189886481</c:v>
                </c:pt>
                <c:pt idx="116">
                  <c:v>0.7039337474120082</c:v>
                </c:pt>
                <c:pt idx="117">
                  <c:v>0.6751054852320675</c:v>
                </c:pt>
                <c:pt idx="118">
                  <c:v>0.6782511210762331</c:v>
                </c:pt>
                <c:pt idx="119">
                  <c:v>0.6875439831104855</c:v>
                </c:pt>
              </c:numCache>
            </c:numRef>
          </c:val>
        </c:ser>
        <c:axId val="42081518"/>
        <c:axId val="43189343"/>
      </c:bar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EU classification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25"/>
          <c:y val="0.27225"/>
          <c:w val="0.3255"/>
          <c:h val="0.6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'Graphs Lab descriptors'!$X$4:$X$7</c:f>
              <c:strCache/>
            </c:strRef>
          </c:cat>
          <c:val>
            <c:numRef>
              <c:f>'Graphs Lab descriptors'!$Y$4:$Y$7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25"/>
          <c:y val="0.39425"/>
          <c:w val="0.12975"/>
          <c:h val="0.37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EU classification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18"/>
          <c:w val="0.8817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descriptors'!$X$4:$X$7</c:f>
              <c:strCache/>
            </c:strRef>
          </c:cat>
          <c:val>
            <c:numRef>
              <c:f>'Graphs Lab descriptors'!$Y$4:$Y$7</c:f>
              <c:numCache/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Chalkiness of endosperm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1"/>
          <c:w val="0.924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descriptors'!$V$3:$V$7</c:f>
              <c:strCache/>
            </c:strRef>
          </c:cat>
          <c:val>
            <c:numRef>
              <c:f>'Graphs Lab descriptors'!$W$3:$W$7</c:f>
              <c:numCache/>
            </c:numRef>
          </c:val>
        </c:ser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Lemma and palea color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21"/>
          <c:w val="0.924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 Lab descriptors'!$A$3:$A$6</c:f>
              <c:strCache/>
            </c:strRef>
          </c:cat>
          <c:val>
            <c:numRef>
              <c:f>'Graphs Lab descriptors'!$B$3:$B$6</c:f>
              <c:numCache/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Classification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Absolute 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Cargo grain lenght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425"/>
          <c:w val="0.98575"/>
          <c:h val="0.796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Ref>
                <c:f>'Data matrix'!$AW$4:$AW$123</c:f>
                <c:numCache>
                  <c:ptCount val="120"/>
                  <c:pt idx="0">
                    <c:v>0.22917484833879812</c:v>
                  </c:pt>
                  <c:pt idx="1">
                    <c:v>0.10322036836027808</c:v>
                  </c:pt>
                  <c:pt idx="2">
                    <c:v>0.27893448055850917</c:v>
                  </c:pt>
                  <c:pt idx="3">
                    <c:v>0.16998039102594667</c:v>
                  </c:pt>
                  <c:pt idx="4">
                    <c:v>0.24943491691776093</c:v>
                  </c:pt>
                  <c:pt idx="5">
                    <c:v>0.46622002435664006</c:v>
                  </c:pt>
                  <c:pt idx="6">
                    <c:v>0.3766873150682583</c:v>
                  </c:pt>
                  <c:pt idx="7">
                    <c:v>0.31927696092541874</c:v>
                  </c:pt>
                  <c:pt idx="8">
                    <c:v>0.2589809087772259</c:v>
                  </c:pt>
                  <c:pt idx="9">
                    <c:v>0.6953304570090626</c:v>
                  </c:pt>
                  <c:pt idx="10">
                    <c:v>NaN</c:v>
                  </c:pt>
                  <c:pt idx="11">
                    <c:v>0.3427924542149111</c:v>
                  </c:pt>
                  <c:pt idx="12">
                    <c:v>0.34515053076723995</c:v>
                  </c:pt>
                  <c:pt idx="13">
                    <c:v>0.39300692671305804</c:v>
                  </c:pt>
                  <c:pt idx="14">
                    <c:v>0.2311541092479393</c:v>
                  </c:pt>
                  <c:pt idx="15">
                    <c:v>NaN</c:v>
                  </c:pt>
                  <c:pt idx="16">
                    <c:v>0.1995105121151124</c:v>
                  </c:pt>
                  <c:pt idx="17">
                    <c:v>0.2972185877244147</c:v>
                  </c:pt>
                  <c:pt idx="18">
                    <c:v>0.15477941292907663</c:v>
                  </c:pt>
                  <c:pt idx="19">
                    <c:v>0.17434321195716265</c:v>
                  </c:pt>
                  <c:pt idx="20">
                    <c:v>0.09663217775551386</c:v>
                  </c:pt>
                  <c:pt idx="21">
                    <c:v>NaN</c:v>
                  </c:pt>
                  <c:pt idx="22">
                    <c:v>0.18710959355416834</c:v>
                  </c:pt>
                  <c:pt idx="23">
                    <c:v>0.20091181039339898</c:v>
                  </c:pt>
                  <c:pt idx="24">
                    <c:v>0.21210322434553894</c:v>
                  </c:pt>
                  <c:pt idx="25">
                    <c:v>0.08121302577513156</c:v>
                  </c:pt>
                  <c:pt idx="26">
                    <c:v>0.10141224997226525</c:v>
                  </c:pt>
                  <c:pt idx="27">
                    <c:v>0.10088497300282585</c:v>
                  </c:pt>
                  <c:pt idx="28">
                    <c:v>NaN</c:v>
                  </c:pt>
                  <c:pt idx="29">
                    <c:v>0.21470651804008364</c:v>
                  </c:pt>
                  <c:pt idx="30">
                    <c:v>0.17045364309524833</c:v>
                  </c:pt>
                  <c:pt idx="31">
                    <c:v>0.24523005072335563</c:v>
                  </c:pt>
                  <c:pt idx="32">
                    <c:v>0.45268213032005683</c:v>
                  </c:pt>
                  <c:pt idx="33">
                    <c:v>NaN</c:v>
                  </c:pt>
                  <c:pt idx="34">
                    <c:v>0.3319638534539587</c:v>
                  </c:pt>
                  <c:pt idx="35">
                    <c:v>0.19376102119193478</c:v>
                  </c:pt>
                  <c:pt idx="36">
                    <c:v>0.2102088908152382</c:v>
                  </c:pt>
                  <c:pt idx="37">
                    <c:v>0.15139719651010747</c:v>
                  </c:pt>
                  <c:pt idx="38">
                    <c:v>0.3828199460726674</c:v>
                  </c:pt>
                  <c:pt idx="39">
                    <c:v>NaN</c:v>
                  </c:pt>
                  <c:pt idx="40">
                    <c:v>0.22858015856345465</c:v>
                  </c:pt>
                  <c:pt idx="41">
                    <c:v>0.12712198865656904</c:v>
                  </c:pt>
                  <c:pt idx="42">
                    <c:v>0.2906716360431543</c:v>
                  </c:pt>
                  <c:pt idx="43">
                    <c:v>0.2424779485964874</c:v>
                  </c:pt>
                  <c:pt idx="44">
                    <c:v>0.28273269669031914</c:v>
                  </c:pt>
                  <c:pt idx="45">
                    <c:v>0.2060097085091027</c:v>
                  </c:pt>
                  <c:pt idx="46">
                    <c:v>0.22575552165021517</c:v>
                  </c:pt>
                  <c:pt idx="47">
                    <c:v>0.3675988151353172</c:v>
                  </c:pt>
                  <c:pt idx="48">
                    <c:v>0.26633521067340465</c:v>
                  </c:pt>
                  <c:pt idx="49">
                    <c:v>0.3444496415378821</c:v>
                  </c:pt>
                  <c:pt idx="50">
                    <c:v>0.21396001703327025</c:v>
                  </c:pt>
                  <c:pt idx="51">
                    <c:v>NaN</c:v>
                  </c:pt>
                  <c:pt idx="52">
                    <c:v>0.3071807285622157</c:v>
                  </c:pt>
                  <c:pt idx="53">
                    <c:v>0.31345564988438235</c:v>
                  </c:pt>
                  <c:pt idx="54">
                    <c:v>0.24008331887071938</c:v>
                  </c:pt>
                  <c:pt idx="55">
                    <c:v>0.3599706778182066</c:v>
                  </c:pt>
                  <c:pt idx="56">
                    <c:v>0.3063857408924727</c:v>
                  </c:pt>
                  <c:pt idx="57">
                    <c:v>0.254558441227152</c:v>
                  </c:pt>
                  <c:pt idx="58">
                    <c:v>0.1699052023269464</c:v>
                  </c:pt>
                  <c:pt idx="59">
                    <c:v>0.632452018382077</c:v>
                  </c:pt>
                  <c:pt idx="60">
                    <c:v>0.10370899457404315</c:v>
                  </c:pt>
                  <c:pt idx="61">
                    <c:v>0.20313104691853526</c:v>
                  </c:pt>
                  <c:pt idx="62">
                    <c:v>0.33097331211643816</c:v>
                  </c:pt>
                  <c:pt idx="63">
                    <c:v>0.3167350803291393</c:v>
                  </c:pt>
                  <c:pt idx="64">
                    <c:v>0.28073118814981607</c:v>
                  </c:pt>
                  <c:pt idx="65">
                    <c:v>0.3147415165214347</c:v>
                  </c:pt>
                  <c:pt idx="66">
                    <c:v>0.17198191119349748</c:v>
                  </c:pt>
                  <c:pt idx="67">
                    <c:v>0.38565384594074237</c:v>
                  </c:pt>
                  <c:pt idx="68">
                    <c:v>0.314799759988612</c:v>
                  </c:pt>
                  <c:pt idx="69">
                    <c:v>0.2246206678924248</c:v>
                  </c:pt>
                  <c:pt idx="70">
                    <c:v>0.26721610064598955</c:v>
                  </c:pt>
                  <c:pt idx="71">
                    <c:v>0.18385078490752338</c:v>
                  </c:pt>
                  <c:pt idx="72">
                    <c:v>0.33399268122389214</c:v>
                  </c:pt>
                  <c:pt idx="73">
                    <c:v>0.25084410829572373</c:v>
                  </c:pt>
                  <c:pt idx="74">
                    <c:v>0.18457157599872842</c:v>
                  </c:pt>
                  <c:pt idx="75">
                    <c:v>0.3486179060869367</c:v>
                  </c:pt>
                  <c:pt idx="76">
                    <c:v>0.3449009519654379</c:v>
                  </c:pt>
                  <c:pt idx="77">
                    <c:v>0.2525184261703613</c:v>
                  </c:pt>
                  <c:pt idx="78">
                    <c:v>0.2805728267511341</c:v>
                  </c:pt>
                  <c:pt idx="79">
                    <c:v>0.30328021512933406</c:v>
                  </c:pt>
                  <c:pt idx="80">
                    <c:v>0.34561378573327006</c:v>
                  </c:pt>
                  <c:pt idx="81">
                    <c:v>0.16350331291238085</c:v>
                  </c:pt>
                  <c:pt idx="82">
                    <c:v>0.2821662236657313</c:v>
                  </c:pt>
                  <c:pt idx="83">
                    <c:v>0.6168999558725471</c:v>
                  </c:pt>
                  <c:pt idx="84">
                    <c:v>0.2408803299012664</c:v>
                  </c:pt>
                  <c:pt idx="85">
                    <c:v>0.14220876672460228</c:v>
                  </c:pt>
                  <c:pt idx="86">
                    <c:v>0.47532561938573453</c:v>
                  </c:pt>
                  <c:pt idx="87">
                    <c:v>0.15435888917284848</c:v>
                  </c:pt>
                  <c:pt idx="88">
                    <c:v>0.16210079169043884</c:v>
                  </c:pt>
                  <c:pt idx="89">
                    <c:v>0.2544361958876789</c:v>
                  </c:pt>
                  <c:pt idx="90">
                    <c:v>0.5036047833150283</c:v>
                  </c:pt>
                  <c:pt idx="91">
                    <c:v>0.19369219567822973</c:v>
                  </c:pt>
                  <c:pt idx="92">
                    <c:v>0.15867857098199553</c:v>
                  </c:pt>
                  <c:pt idx="93">
                    <c:v>0.2342576928654911</c:v>
                  </c:pt>
                  <c:pt idx="94">
                    <c:v>0.22269351135588458</c:v>
                  </c:pt>
                  <c:pt idx="95">
                    <c:v>0.281742593316787</c:v>
                  </c:pt>
                  <c:pt idx="96">
                    <c:v>0.6693479414076701</c:v>
                  </c:pt>
                  <c:pt idx="97">
                    <c:v>0.5204538617613</c:v>
                  </c:pt>
                  <c:pt idx="98">
                    <c:v>0.15755069730794227</c:v>
                  </c:pt>
                  <c:pt idx="99">
                    <c:v>0.2246206678924248</c:v>
                  </c:pt>
                  <c:pt idx="100">
                    <c:v>0.07803845206046861</c:v>
                  </c:pt>
                  <c:pt idx="101">
                    <c:v>0.1262097020394215</c:v>
                  </c:pt>
                  <c:pt idx="102">
                    <c:v>0.32304282481841423</c:v>
                  </c:pt>
                  <c:pt idx="103">
                    <c:v>0.3323251419919506</c:v>
                  </c:pt>
                  <c:pt idx="104">
                    <c:v>0.21412353651313074</c:v>
                  </c:pt>
                  <c:pt idx="105">
                    <c:v>0.22304957097270248</c:v>
                  </c:pt>
                  <c:pt idx="106">
                    <c:v>0.19516659550241877</c:v>
                  </c:pt>
                  <c:pt idx="107">
                    <c:v>0.18434568976068294</c:v>
                  </c:pt>
                  <c:pt idx="108">
                    <c:v>0.2638518102605866</c:v>
                  </c:pt>
                  <c:pt idx="109">
                    <c:v>0.16951237254085363</c:v>
                  </c:pt>
                  <c:pt idx="110">
                    <c:v>0.46905223589701545</c:v>
                  </c:pt>
                  <c:pt idx="111">
                    <c:v>0.23281132083963377</c:v>
                  </c:pt>
                  <c:pt idx="112">
                    <c:v>0.25887792060694953</c:v>
                  </c:pt>
                  <c:pt idx="113">
                    <c:v>0.2816617356570457</c:v>
                  </c:pt>
                  <c:pt idx="114">
                    <c:v>0.35787024339992224</c:v>
                  </c:pt>
                  <c:pt idx="115">
                    <c:v>0.1793692652974102</c:v>
                  </c:pt>
                  <c:pt idx="116">
                    <c:v>0.4992538877609714</c:v>
                  </c:pt>
                  <c:pt idx="117">
                    <c:v>0.2932973462773318</c:v>
                  </c:pt>
                  <c:pt idx="118">
                    <c:v>0.33212447465771616</c:v>
                  </c:pt>
                  <c:pt idx="119">
                    <c:v>0.21036740347413124</c:v>
                  </c:pt>
                </c:numCache>
              </c:numRef>
            </c:plus>
            <c:minus>
              <c:numRef>
                <c:f>'Data matrix'!$AW$4:$AW$123</c:f>
                <c:numCache>
                  <c:ptCount val="120"/>
                  <c:pt idx="0">
                    <c:v>0.22917484833879812</c:v>
                  </c:pt>
                  <c:pt idx="1">
                    <c:v>0.10322036836027808</c:v>
                  </c:pt>
                  <c:pt idx="2">
                    <c:v>0.27893448055850917</c:v>
                  </c:pt>
                  <c:pt idx="3">
                    <c:v>0.16998039102594667</c:v>
                  </c:pt>
                  <c:pt idx="4">
                    <c:v>0.24943491691776093</c:v>
                  </c:pt>
                  <c:pt idx="5">
                    <c:v>0.46622002435664006</c:v>
                  </c:pt>
                  <c:pt idx="6">
                    <c:v>0.3766873150682583</c:v>
                  </c:pt>
                  <c:pt idx="7">
                    <c:v>0.31927696092541874</c:v>
                  </c:pt>
                  <c:pt idx="8">
                    <c:v>0.2589809087772259</c:v>
                  </c:pt>
                  <c:pt idx="9">
                    <c:v>0.6953304570090626</c:v>
                  </c:pt>
                  <c:pt idx="10">
                    <c:v>NaN</c:v>
                  </c:pt>
                  <c:pt idx="11">
                    <c:v>0.3427924542149111</c:v>
                  </c:pt>
                  <c:pt idx="12">
                    <c:v>0.34515053076723995</c:v>
                  </c:pt>
                  <c:pt idx="13">
                    <c:v>0.39300692671305804</c:v>
                  </c:pt>
                  <c:pt idx="14">
                    <c:v>0.2311541092479393</c:v>
                  </c:pt>
                  <c:pt idx="15">
                    <c:v>NaN</c:v>
                  </c:pt>
                  <c:pt idx="16">
                    <c:v>0.1995105121151124</c:v>
                  </c:pt>
                  <c:pt idx="17">
                    <c:v>0.2972185877244147</c:v>
                  </c:pt>
                  <c:pt idx="18">
                    <c:v>0.15477941292907663</c:v>
                  </c:pt>
                  <c:pt idx="19">
                    <c:v>0.17434321195716265</c:v>
                  </c:pt>
                  <c:pt idx="20">
                    <c:v>0.09663217775551386</c:v>
                  </c:pt>
                  <c:pt idx="21">
                    <c:v>NaN</c:v>
                  </c:pt>
                  <c:pt idx="22">
                    <c:v>0.18710959355416834</c:v>
                  </c:pt>
                  <c:pt idx="23">
                    <c:v>0.20091181039339898</c:v>
                  </c:pt>
                  <c:pt idx="24">
                    <c:v>0.21210322434553894</c:v>
                  </c:pt>
                  <c:pt idx="25">
                    <c:v>0.08121302577513156</c:v>
                  </c:pt>
                  <c:pt idx="26">
                    <c:v>0.10141224997226525</c:v>
                  </c:pt>
                  <c:pt idx="27">
                    <c:v>0.10088497300282585</c:v>
                  </c:pt>
                  <c:pt idx="28">
                    <c:v>NaN</c:v>
                  </c:pt>
                  <c:pt idx="29">
                    <c:v>0.21470651804008364</c:v>
                  </c:pt>
                  <c:pt idx="30">
                    <c:v>0.17045364309524833</c:v>
                  </c:pt>
                  <c:pt idx="31">
                    <c:v>0.24523005072335563</c:v>
                  </c:pt>
                  <c:pt idx="32">
                    <c:v>0.45268213032005683</c:v>
                  </c:pt>
                  <c:pt idx="33">
                    <c:v>NaN</c:v>
                  </c:pt>
                  <c:pt idx="34">
                    <c:v>0.3319638534539587</c:v>
                  </c:pt>
                  <c:pt idx="35">
                    <c:v>0.19376102119193478</c:v>
                  </c:pt>
                  <c:pt idx="36">
                    <c:v>0.2102088908152382</c:v>
                  </c:pt>
                  <c:pt idx="37">
                    <c:v>0.15139719651010747</c:v>
                  </c:pt>
                  <c:pt idx="38">
                    <c:v>0.3828199460726674</c:v>
                  </c:pt>
                  <c:pt idx="39">
                    <c:v>NaN</c:v>
                  </c:pt>
                  <c:pt idx="40">
                    <c:v>0.22858015856345465</c:v>
                  </c:pt>
                  <c:pt idx="41">
                    <c:v>0.12712198865656904</c:v>
                  </c:pt>
                  <c:pt idx="42">
                    <c:v>0.2906716360431543</c:v>
                  </c:pt>
                  <c:pt idx="43">
                    <c:v>0.2424779485964874</c:v>
                  </c:pt>
                  <c:pt idx="44">
                    <c:v>0.28273269669031914</c:v>
                  </c:pt>
                  <c:pt idx="45">
                    <c:v>0.2060097085091027</c:v>
                  </c:pt>
                  <c:pt idx="46">
                    <c:v>0.22575552165021517</c:v>
                  </c:pt>
                  <c:pt idx="47">
                    <c:v>0.3675988151353172</c:v>
                  </c:pt>
                  <c:pt idx="48">
                    <c:v>0.26633521067340465</c:v>
                  </c:pt>
                  <c:pt idx="49">
                    <c:v>0.3444496415378821</c:v>
                  </c:pt>
                  <c:pt idx="50">
                    <c:v>0.21396001703327025</c:v>
                  </c:pt>
                  <c:pt idx="51">
                    <c:v>NaN</c:v>
                  </c:pt>
                  <c:pt idx="52">
                    <c:v>0.3071807285622157</c:v>
                  </c:pt>
                  <c:pt idx="53">
                    <c:v>0.31345564988438235</c:v>
                  </c:pt>
                  <c:pt idx="54">
                    <c:v>0.24008331887071938</c:v>
                  </c:pt>
                  <c:pt idx="55">
                    <c:v>0.3599706778182066</c:v>
                  </c:pt>
                  <c:pt idx="56">
                    <c:v>0.3063857408924727</c:v>
                  </c:pt>
                  <c:pt idx="57">
                    <c:v>0.254558441227152</c:v>
                  </c:pt>
                  <c:pt idx="58">
                    <c:v>0.1699052023269464</c:v>
                  </c:pt>
                  <c:pt idx="59">
                    <c:v>0.632452018382077</c:v>
                  </c:pt>
                  <c:pt idx="60">
                    <c:v>0.10370899457404315</c:v>
                  </c:pt>
                  <c:pt idx="61">
                    <c:v>0.20313104691853526</c:v>
                  </c:pt>
                  <c:pt idx="62">
                    <c:v>0.33097331211643816</c:v>
                  </c:pt>
                  <c:pt idx="63">
                    <c:v>0.3167350803291393</c:v>
                  </c:pt>
                  <c:pt idx="64">
                    <c:v>0.28073118814981607</c:v>
                  </c:pt>
                  <c:pt idx="65">
                    <c:v>0.3147415165214347</c:v>
                  </c:pt>
                  <c:pt idx="66">
                    <c:v>0.17198191119349748</c:v>
                  </c:pt>
                  <c:pt idx="67">
                    <c:v>0.38565384594074237</c:v>
                  </c:pt>
                  <c:pt idx="68">
                    <c:v>0.314799759988612</c:v>
                  </c:pt>
                  <c:pt idx="69">
                    <c:v>0.2246206678924248</c:v>
                  </c:pt>
                  <c:pt idx="70">
                    <c:v>0.26721610064598955</c:v>
                  </c:pt>
                  <c:pt idx="71">
                    <c:v>0.18385078490752338</c:v>
                  </c:pt>
                  <c:pt idx="72">
                    <c:v>0.33399268122389214</c:v>
                  </c:pt>
                  <c:pt idx="73">
                    <c:v>0.25084410829572373</c:v>
                  </c:pt>
                  <c:pt idx="74">
                    <c:v>0.18457157599872842</c:v>
                  </c:pt>
                  <c:pt idx="75">
                    <c:v>0.3486179060869367</c:v>
                  </c:pt>
                  <c:pt idx="76">
                    <c:v>0.3449009519654379</c:v>
                  </c:pt>
                  <c:pt idx="77">
                    <c:v>0.2525184261703613</c:v>
                  </c:pt>
                  <c:pt idx="78">
                    <c:v>0.2805728267511341</c:v>
                  </c:pt>
                  <c:pt idx="79">
                    <c:v>0.30328021512933406</c:v>
                  </c:pt>
                  <c:pt idx="80">
                    <c:v>0.34561378573327006</c:v>
                  </c:pt>
                  <c:pt idx="81">
                    <c:v>0.16350331291238085</c:v>
                  </c:pt>
                  <c:pt idx="82">
                    <c:v>0.2821662236657313</c:v>
                  </c:pt>
                  <c:pt idx="83">
                    <c:v>0.6168999558725471</c:v>
                  </c:pt>
                  <c:pt idx="84">
                    <c:v>0.2408803299012664</c:v>
                  </c:pt>
                  <c:pt idx="85">
                    <c:v>0.14220876672460228</c:v>
                  </c:pt>
                  <c:pt idx="86">
                    <c:v>0.47532561938573453</c:v>
                  </c:pt>
                  <c:pt idx="87">
                    <c:v>0.15435888917284848</c:v>
                  </c:pt>
                  <c:pt idx="88">
                    <c:v>0.16210079169043884</c:v>
                  </c:pt>
                  <c:pt idx="89">
                    <c:v>0.2544361958876789</c:v>
                  </c:pt>
                  <c:pt idx="90">
                    <c:v>0.5036047833150283</c:v>
                  </c:pt>
                  <c:pt idx="91">
                    <c:v>0.19369219567822973</c:v>
                  </c:pt>
                  <c:pt idx="92">
                    <c:v>0.15867857098199553</c:v>
                  </c:pt>
                  <c:pt idx="93">
                    <c:v>0.2342576928654911</c:v>
                  </c:pt>
                  <c:pt idx="94">
                    <c:v>0.22269351135588458</c:v>
                  </c:pt>
                  <c:pt idx="95">
                    <c:v>0.281742593316787</c:v>
                  </c:pt>
                  <c:pt idx="96">
                    <c:v>0.6693479414076701</c:v>
                  </c:pt>
                  <c:pt idx="97">
                    <c:v>0.5204538617613</c:v>
                  </c:pt>
                  <c:pt idx="98">
                    <c:v>0.15755069730794227</c:v>
                  </c:pt>
                  <c:pt idx="99">
                    <c:v>0.2246206678924248</c:v>
                  </c:pt>
                  <c:pt idx="100">
                    <c:v>0.07803845206046861</c:v>
                  </c:pt>
                  <c:pt idx="101">
                    <c:v>0.1262097020394215</c:v>
                  </c:pt>
                  <c:pt idx="102">
                    <c:v>0.32304282481841423</c:v>
                  </c:pt>
                  <c:pt idx="103">
                    <c:v>0.3323251419919506</c:v>
                  </c:pt>
                  <c:pt idx="104">
                    <c:v>0.21412353651313074</c:v>
                  </c:pt>
                  <c:pt idx="105">
                    <c:v>0.22304957097270248</c:v>
                  </c:pt>
                  <c:pt idx="106">
                    <c:v>0.19516659550241877</c:v>
                  </c:pt>
                  <c:pt idx="107">
                    <c:v>0.18434568976068294</c:v>
                  </c:pt>
                  <c:pt idx="108">
                    <c:v>0.2638518102605866</c:v>
                  </c:pt>
                  <c:pt idx="109">
                    <c:v>0.16951237254085363</c:v>
                  </c:pt>
                  <c:pt idx="110">
                    <c:v>0.46905223589701545</c:v>
                  </c:pt>
                  <c:pt idx="111">
                    <c:v>0.23281132083963377</c:v>
                  </c:pt>
                  <c:pt idx="112">
                    <c:v>0.25887792060694953</c:v>
                  </c:pt>
                  <c:pt idx="113">
                    <c:v>0.2816617356570457</c:v>
                  </c:pt>
                  <c:pt idx="114">
                    <c:v>0.35787024339992224</c:v>
                  </c:pt>
                  <c:pt idx="115">
                    <c:v>0.1793692652974102</c:v>
                  </c:pt>
                  <c:pt idx="116">
                    <c:v>0.4992538877609714</c:v>
                  </c:pt>
                  <c:pt idx="117">
                    <c:v>0.2932973462773318</c:v>
                  </c:pt>
                  <c:pt idx="118">
                    <c:v>0.33212447465771616</c:v>
                  </c:pt>
                  <c:pt idx="119">
                    <c:v>0.21036740347413124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'Data matrix'!$AU$4:$AU$123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matrix'!$AV$4:$AV$123</c:f>
              <c:numCache>
                <c:ptCount val="120"/>
                <c:pt idx="0">
                  <c:v>6.648999999999999</c:v>
                </c:pt>
                <c:pt idx="1">
                  <c:v>6.601000000000001</c:v>
                </c:pt>
                <c:pt idx="2">
                  <c:v>6.004</c:v>
                </c:pt>
                <c:pt idx="3">
                  <c:v>4.794</c:v>
                </c:pt>
                <c:pt idx="4">
                  <c:v>7.078</c:v>
                </c:pt>
                <c:pt idx="5">
                  <c:v>6.875</c:v>
                </c:pt>
                <c:pt idx="6">
                  <c:v>6.814</c:v>
                </c:pt>
                <c:pt idx="7">
                  <c:v>7.366000000000001</c:v>
                </c:pt>
                <c:pt idx="8">
                  <c:v>7.2440000000000015</c:v>
                </c:pt>
                <c:pt idx="9">
                  <c:v>6.442</c:v>
                </c:pt>
                <c:pt idx="11">
                  <c:v>6.568</c:v>
                </c:pt>
                <c:pt idx="12">
                  <c:v>7.107999999999999</c:v>
                </c:pt>
                <c:pt idx="13">
                  <c:v>7.421000000000001</c:v>
                </c:pt>
                <c:pt idx="14">
                  <c:v>5.8790000000000004</c:v>
                </c:pt>
                <c:pt idx="16">
                  <c:v>5.924</c:v>
                </c:pt>
                <c:pt idx="17">
                  <c:v>7.234999999999999</c:v>
                </c:pt>
                <c:pt idx="18">
                  <c:v>5.787</c:v>
                </c:pt>
                <c:pt idx="19">
                  <c:v>5.198000000000001</c:v>
                </c:pt>
                <c:pt idx="20">
                  <c:v>5.246</c:v>
                </c:pt>
                <c:pt idx="22">
                  <c:v>5.621</c:v>
                </c:pt>
                <c:pt idx="23">
                  <c:v>4.9590000000000005</c:v>
                </c:pt>
                <c:pt idx="24">
                  <c:v>4.889</c:v>
                </c:pt>
                <c:pt idx="25">
                  <c:v>5.258</c:v>
                </c:pt>
                <c:pt idx="26">
                  <c:v>5.612</c:v>
                </c:pt>
                <c:pt idx="27">
                  <c:v>5.61</c:v>
                </c:pt>
                <c:pt idx="29">
                  <c:v>6.741</c:v>
                </c:pt>
                <c:pt idx="30">
                  <c:v>5.651000000000001</c:v>
                </c:pt>
                <c:pt idx="31">
                  <c:v>6.296</c:v>
                </c:pt>
                <c:pt idx="32">
                  <c:v>6.669</c:v>
                </c:pt>
                <c:pt idx="34">
                  <c:v>6.4799999999999995</c:v>
                </c:pt>
                <c:pt idx="35">
                  <c:v>6.848999999999999</c:v>
                </c:pt>
                <c:pt idx="36">
                  <c:v>5.211</c:v>
                </c:pt>
                <c:pt idx="37">
                  <c:v>5.7909999999999995</c:v>
                </c:pt>
                <c:pt idx="38">
                  <c:v>8.388000000000002</c:v>
                </c:pt>
                <c:pt idx="40">
                  <c:v>6.156000000000001</c:v>
                </c:pt>
                <c:pt idx="41">
                  <c:v>6.604000000000001</c:v>
                </c:pt>
                <c:pt idx="42">
                  <c:v>6.683</c:v>
                </c:pt>
                <c:pt idx="43">
                  <c:v>7.5920000000000005</c:v>
                </c:pt>
                <c:pt idx="44">
                  <c:v>6.694</c:v>
                </c:pt>
                <c:pt idx="45">
                  <c:v>5.212</c:v>
                </c:pt>
                <c:pt idx="46">
                  <c:v>5.849</c:v>
                </c:pt>
                <c:pt idx="47">
                  <c:v>6.537999999999999</c:v>
                </c:pt>
                <c:pt idx="48">
                  <c:v>5.233</c:v>
                </c:pt>
                <c:pt idx="49">
                  <c:v>6.716999999999999</c:v>
                </c:pt>
                <c:pt idx="50">
                  <c:v>6.473000000000001</c:v>
                </c:pt>
                <c:pt idx="52">
                  <c:v>8.084</c:v>
                </c:pt>
                <c:pt idx="53">
                  <c:v>7.928999999999999</c:v>
                </c:pt>
                <c:pt idx="54">
                  <c:v>7.632000000000001</c:v>
                </c:pt>
                <c:pt idx="55">
                  <c:v>7.677</c:v>
                </c:pt>
                <c:pt idx="56">
                  <c:v>7.1049999999999995</c:v>
                </c:pt>
                <c:pt idx="57">
                  <c:v>6.970000000000001</c:v>
                </c:pt>
                <c:pt idx="58">
                  <c:v>6.517</c:v>
                </c:pt>
                <c:pt idx="59">
                  <c:v>5.858</c:v>
                </c:pt>
                <c:pt idx="60">
                  <c:v>4.99</c:v>
                </c:pt>
                <c:pt idx="61">
                  <c:v>7.162000000000001</c:v>
                </c:pt>
                <c:pt idx="62">
                  <c:v>6.979000000000001</c:v>
                </c:pt>
                <c:pt idx="63">
                  <c:v>6.409000000000001</c:v>
                </c:pt>
                <c:pt idx="64">
                  <c:v>6.218999999999999</c:v>
                </c:pt>
                <c:pt idx="65">
                  <c:v>6.892</c:v>
                </c:pt>
                <c:pt idx="66">
                  <c:v>7.65</c:v>
                </c:pt>
                <c:pt idx="67">
                  <c:v>6.848000000000001</c:v>
                </c:pt>
                <c:pt idx="68">
                  <c:v>6.598999999999999</c:v>
                </c:pt>
                <c:pt idx="69">
                  <c:v>6.631</c:v>
                </c:pt>
                <c:pt idx="70">
                  <c:v>7.006</c:v>
                </c:pt>
                <c:pt idx="71">
                  <c:v>7.177</c:v>
                </c:pt>
                <c:pt idx="72">
                  <c:v>7.541999999999999</c:v>
                </c:pt>
                <c:pt idx="73">
                  <c:v>7.2369</c:v>
                </c:pt>
                <c:pt idx="74">
                  <c:v>7.210000000000001</c:v>
                </c:pt>
                <c:pt idx="75">
                  <c:v>7.173</c:v>
                </c:pt>
                <c:pt idx="76">
                  <c:v>6.5329999999999995</c:v>
                </c:pt>
                <c:pt idx="77">
                  <c:v>6.039</c:v>
                </c:pt>
                <c:pt idx="78">
                  <c:v>6.069</c:v>
                </c:pt>
                <c:pt idx="79">
                  <c:v>6.007</c:v>
                </c:pt>
                <c:pt idx="80">
                  <c:v>6.664</c:v>
                </c:pt>
                <c:pt idx="81">
                  <c:v>6.57</c:v>
                </c:pt>
                <c:pt idx="82">
                  <c:v>5.5280000000000005</c:v>
                </c:pt>
                <c:pt idx="83">
                  <c:v>7.2010000000000005</c:v>
                </c:pt>
                <c:pt idx="84">
                  <c:v>5.137</c:v>
                </c:pt>
                <c:pt idx="85">
                  <c:v>5.4270000000000005</c:v>
                </c:pt>
                <c:pt idx="86">
                  <c:v>7.227000000000001</c:v>
                </c:pt>
                <c:pt idx="87">
                  <c:v>6.824</c:v>
                </c:pt>
                <c:pt idx="88">
                  <c:v>6.639</c:v>
                </c:pt>
                <c:pt idx="89">
                  <c:v>6.175999999999999</c:v>
                </c:pt>
                <c:pt idx="90">
                  <c:v>7.328</c:v>
                </c:pt>
                <c:pt idx="91">
                  <c:v>6.615</c:v>
                </c:pt>
                <c:pt idx="92">
                  <c:v>5.2170000000000005</c:v>
                </c:pt>
                <c:pt idx="93">
                  <c:v>5.181</c:v>
                </c:pt>
                <c:pt idx="94">
                  <c:v>7.6282</c:v>
                </c:pt>
                <c:pt idx="95">
                  <c:v>6.9430000000000005</c:v>
                </c:pt>
                <c:pt idx="96">
                  <c:v>6.975999999999999</c:v>
                </c:pt>
                <c:pt idx="97">
                  <c:v>6.894999999999999</c:v>
                </c:pt>
                <c:pt idx="98">
                  <c:v>5.58</c:v>
                </c:pt>
                <c:pt idx="99">
                  <c:v>5.281000000000001</c:v>
                </c:pt>
                <c:pt idx="100">
                  <c:v>5.037000000000001</c:v>
                </c:pt>
                <c:pt idx="101">
                  <c:v>6.452000000000001</c:v>
                </c:pt>
                <c:pt idx="102">
                  <c:v>6.473000000000001</c:v>
                </c:pt>
                <c:pt idx="103">
                  <c:v>6.908000000000001</c:v>
                </c:pt>
                <c:pt idx="104">
                  <c:v>7.276000000000001</c:v>
                </c:pt>
                <c:pt idx="105">
                  <c:v>6.851999999999999</c:v>
                </c:pt>
                <c:pt idx="106">
                  <c:v>6.203</c:v>
                </c:pt>
                <c:pt idx="107">
                  <c:v>6.234999999999999</c:v>
                </c:pt>
                <c:pt idx="108">
                  <c:v>7.111999999999999</c:v>
                </c:pt>
                <c:pt idx="109">
                  <c:v>6.487</c:v>
                </c:pt>
                <c:pt idx="110">
                  <c:v>5.229000000000001</c:v>
                </c:pt>
                <c:pt idx="111">
                  <c:v>7.307</c:v>
                </c:pt>
                <c:pt idx="112">
                  <c:v>6.098</c:v>
                </c:pt>
                <c:pt idx="113">
                  <c:v>7.01</c:v>
                </c:pt>
                <c:pt idx="114">
                  <c:v>6.874</c:v>
                </c:pt>
                <c:pt idx="115">
                  <c:v>5.602</c:v>
                </c:pt>
                <c:pt idx="116">
                  <c:v>6.319</c:v>
                </c:pt>
                <c:pt idx="117">
                  <c:v>6.843000000000001</c:v>
                </c:pt>
                <c:pt idx="118">
                  <c:v>6.032</c:v>
                </c:pt>
                <c:pt idx="119">
                  <c:v>7.0009999999999994</c:v>
                </c:pt>
              </c:numCache>
            </c:numRef>
          </c:val>
        </c:ser>
        <c:axId val="59200854"/>
        <c:axId val="63045639"/>
      </c:barChart>
      <c:cat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Lenght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00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cargo grain width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6"/>
          <c:w val="0.83075"/>
          <c:h val="0.82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'Lab descriptors of grain qualit'!$AS$127:$AS$160</c:f>
              <c:numCache/>
            </c:numRef>
          </c:xVal>
          <c:yVal>
            <c:numRef>
              <c:f>'Lab descriptors of grain qualit'!$AT$127:$AT$160</c:f>
              <c:numCache/>
            </c:numRef>
          </c:yVal>
          <c:smooth val="0"/>
        </c:ser>
        <c:axId val="1123454"/>
        <c:axId val="10111087"/>
      </c:scatterChart>
      <c:valAx>
        <c:axId val="1123454"/>
        <c:scaling>
          <c:orientation val="minMax"/>
          <c:max val="3.5"/>
          <c:min val="1.85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 val="autoZero"/>
        <c:crossBetween val="midCat"/>
        <c:dispUnits/>
      </c:valAx>
      <c:valAx>
        <c:axId val="1011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4"/>
          <c:w val="0.116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head rice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35"/>
          <c:w val="0.98575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v>2008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matrix'!$AU$4:$AU$123</c:f>
              <c:strCache>
                <c:ptCount val="120"/>
                <c:pt idx="0">
                  <c:v>KORAL</c:v>
                </c:pt>
                <c:pt idx="1">
                  <c:v>ARIETE</c:v>
                </c:pt>
                <c:pt idx="2">
                  <c:v>LOTO</c:v>
                </c:pt>
                <c:pt idx="3">
                  <c:v>SELENIO</c:v>
                </c:pt>
                <c:pt idx="4">
                  <c:v>GOLFO</c:v>
                </c:pt>
                <c:pt idx="5">
                  <c:v>MARTA</c:v>
                </c:pt>
                <c:pt idx="6">
                  <c:v>PLUS</c:v>
                </c:pt>
                <c:pt idx="7">
                  <c:v>104 UPLA</c:v>
                </c:pt>
                <c:pt idx="8">
                  <c:v>32 UPLA</c:v>
                </c:pt>
                <c:pt idx="9">
                  <c:v>MEDUSA</c:v>
                </c:pt>
                <c:pt idx="10">
                  <c:v>ORIONE</c:v>
                </c:pt>
                <c:pt idx="11">
                  <c:v>ARIANA</c:v>
                </c:pt>
                <c:pt idx="12">
                  <c:v>BRAZOS</c:v>
                </c:pt>
                <c:pt idx="13">
                  <c:v>CENTURY PATNA</c:v>
                </c:pt>
                <c:pt idx="14">
                  <c:v>DAWN CI 9534</c:v>
                </c:pt>
                <c:pt idx="15">
                  <c:v>GOOLARAH</c:v>
                </c:pt>
                <c:pt idx="16">
                  <c:v>HARRA</c:v>
                </c:pt>
                <c:pt idx="17">
                  <c:v>PELDE</c:v>
                </c:pt>
                <c:pt idx="18">
                  <c:v>BAHIA</c:v>
                </c:pt>
                <c:pt idx="19">
                  <c:v>BOMBA</c:v>
                </c:pt>
                <c:pt idx="20">
                  <c:v>BOMBILLA</c:v>
                </c:pt>
                <c:pt idx="21">
                  <c:v>BOMBON</c:v>
                </c:pt>
                <c:pt idx="22">
                  <c:v>CLOT</c:v>
                </c:pt>
                <c:pt idx="23">
                  <c:v>COLINA</c:v>
                </c:pt>
                <c:pt idx="24">
                  <c:v>FRANCES</c:v>
                </c:pt>
                <c:pt idx="25">
                  <c:v>LUNA</c:v>
                </c:pt>
                <c:pt idx="26">
                  <c:v>PEGONIL</c:v>
                </c:pt>
                <c:pt idx="27">
                  <c:v>SENIA</c:v>
                </c:pt>
                <c:pt idx="28">
                  <c:v>N 3</c:v>
                </c:pt>
                <c:pt idx="29">
                  <c:v>SR 113</c:v>
                </c:pt>
                <c:pt idx="30">
                  <c:v>FLIPPER</c:v>
                </c:pt>
                <c:pt idx="31">
                  <c:v>SAVIO</c:v>
                </c:pt>
                <c:pt idx="32">
                  <c:v>BELLE PATNA</c:v>
                </c:pt>
                <c:pt idx="33">
                  <c:v>BLUE BONNET</c:v>
                </c:pt>
                <c:pt idx="34">
                  <c:v>BOND</c:v>
                </c:pt>
                <c:pt idx="35">
                  <c:v>KATY</c:v>
                </c:pt>
                <c:pt idx="36">
                  <c:v>THAIPERLA</c:v>
                </c:pt>
                <c:pt idx="37">
                  <c:v>CARINA</c:v>
                </c:pt>
                <c:pt idx="38">
                  <c:v>SANDOCA</c:v>
                </c:pt>
                <c:pt idx="39">
                  <c:v>SUWEON 280</c:v>
                </c:pt>
                <c:pt idx="40">
                  <c:v>TORIO</c:v>
                </c:pt>
                <c:pt idx="41">
                  <c:v>SAN ANDREA</c:v>
                </c:pt>
                <c:pt idx="42">
                  <c:v>KULON</c:v>
                </c:pt>
                <c:pt idx="43">
                  <c:v>CT 23</c:v>
                </c:pt>
                <c:pt idx="44">
                  <c:v>CT 36</c:v>
                </c:pt>
                <c:pt idx="45">
                  <c:v>ZHEN SHANG 97</c:v>
                </c:pt>
                <c:pt idx="46">
                  <c:v>YRM 6-2</c:v>
                </c:pt>
                <c:pt idx="47">
                  <c:v>GARDE SADRI 79015</c:v>
                </c:pt>
                <c:pt idx="48">
                  <c:v>CIGALON</c:v>
                </c:pt>
                <c:pt idx="49">
                  <c:v>CALENDAL</c:v>
                </c:pt>
                <c:pt idx="50">
                  <c:v>ARLESIENNE</c:v>
                </c:pt>
                <c:pt idx="51">
                  <c:v>AUZGUSTA</c:v>
                </c:pt>
                <c:pt idx="52">
                  <c:v>ESTRELA</c:v>
                </c:pt>
                <c:pt idx="53">
                  <c:v>FIDJI</c:v>
                </c:pt>
                <c:pt idx="54">
                  <c:v>A 201</c:v>
                </c:pt>
                <c:pt idx="55">
                  <c:v>A 301</c:v>
                </c:pt>
                <c:pt idx="56">
                  <c:v>ADAIR</c:v>
                </c:pt>
                <c:pt idx="57">
                  <c:v>ALAN</c:v>
                </c:pt>
                <c:pt idx="58">
                  <c:v>AUGUSTO</c:v>
                </c:pt>
                <c:pt idx="59">
                  <c:v>BENGAL</c:v>
                </c:pt>
                <c:pt idx="60">
                  <c:v>CALMOCHI 101</c:v>
                </c:pt>
                <c:pt idx="61">
                  <c:v>COCODRIE</c:v>
                </c:pt>
                <c:pt idx="62">
                  <c:v>DELLMONT</c:v>
                </c:pt>
                <c:pt idx="63">
                  <c:v>DELLROSE</c:v>
                </c:pt>
                <c:pt idx="64">
                  <c:v>DIXIEBELL</c:v>
                </c:pt>
                <c:pt idx="65">
                  <c:v>DREW</c:v>
                </c:pt>
                <c:pt idx="66">
                  <c:v>FRAGRANCE</c:v>
                </c:pt>
                <c:pt idx="67">
                  <c:v>GLADIO</c:v>
                </c:pt>
                <c:pt idx="68">
                  <c:v>JACINTO</c:v>
                </c:pt>
                <c:pt idx="69">
                  <c:v>JEFFERSON</c:v>
                </c:pt>
                <c:pt idx="70">
                  <c:v>KING</c:v>
                </c:pt>
                <c:pt idx="71">
                  <c:v>KYEEMA</c:v>
                </c:pt>
                <c:pt idx="72">
                  <c:v>THAIBONNET</c:v>
                </c:pt>
                <c:pt idx="73">
                  <c:v>L 204</c:v>
                </c:pt>
                <c:pt idx="74">
                  <c:v>L 205</c:v>
                </c:pt>
                <c:pt idx="75">
                  <c:v>LACASSINE</c:v>
                </c:pt>
                <c:pt idx="76">
                  <c:v>LAGRUE</c:v>
                </c:pt>
                <c:pt idx="77">
                  <c:v>LUXOR</c:v>
                </c:pt>
                <c:pt idx="78">
                  <c:v>M 202</c:v>
                </c:pt>
                <c:pt idx="79">
                  <c:v>M 204</c:v>
                </c:pt>
                <c:pt idx="80">
                  <c:v>MAYBELLE</c:v>
                </c:pt>
                <c:pt idx="81">
                  <c:v>OPALE</c:v>
                </c:pt>
                <c:pt idx="82">
                  <c:v>PECOS</c:v>
                </c:pt>
                <c:pt idx="83">
                  <c:v>REXMONT</c:v>
                </c:pt>
                <c:pt idx="84">
                  <c:v>S 101</c:v>
                </c:pt>
                <c:pt idx="85">
                  <c:v>S 102</c:v>
                </c:pt>
                <c:pt idx="86">
                  <c:v>SALVO</c:v>
                </c:pt>
                <c:pt idx="87">
                  <c:v>TEXMONT</c:v>
                </c:pt>
                <c:pt idx="88">
                  <c:v>ESTRELA A IRRADIADO 874</c:v>
                </c:pt>
                <c:pt idx="89">
                  <c:v>LUSITO IRRADIADO 859-85-2</c:v>
                </c:pt>
                <c:pt idx="90">
                  <c:v>ALEXANDROS</c:v>
                </c:pt>
                <c:pt idx="91">
                  <c:v>DIMITRA</c:v>
                </c:pt>
                <c:pt idx="92">
                  <c:v>GIZA 177</c:v>
                </c:pt>
                <c:pt idx="93">
                  <c:v>GIZA 178</c:v>
                </c:pt>
                <c:pt idx="94">
                  <c:v>GRAAL</c:v>
                </c:pt>
                <c:pt idx="95">
                  <c:v>MELAS</c:v>
                </c:pt>
                <c:pt idx="96">
                  <c:v>MERLE</c:v>
                </c:pt>
                <c:pt idx="97">
                  <c:v>ROXANI</c:v>
                </c:pt>
                <c:pt idx="98">
                  <c:v>SAKHA 102</c:v>
                </c:pt>
                <c:pt idx="99">
                  <c:v>SAKHA 103</c:v>
                </c:pt>
                <c:pt idx="100">
                  <c:v>CENTAURO</c:v>
                </c:pt>
                <c:pt idx="101">
                  <c:v>CRESO</c:v>
                </c:pt>
                <c:pt idx="102">
                  <c:v>EUROSIS</c:v>
                </c:pt>
                <c:pt idx="103">
                  <c:v>SIS R215</c:v>
                </c:pt>
                <c:pt idx="104">
                  <c:v>GALILEO</c:v>
                </c:pt>
                <c:pt idx="105">
                  <c:v>KARNAK</c:v>
                </c:pt>
                <c:pt idx="106">
                  <c:v>NEMBO</c:v>
                </c:pt>
                <c:pt idx="107">
                  <c:v>TEJO</c:v>
                </c:pt>
                <c:pt idx="108">
                  <c:v>SCUDO</c:v>
                </c:pt>
                <c:pt idx="109">
                  <c:v>ERCOLE</c:v>
                </c:pt>
                <c:pt idx="110">
                  <c:v>89 A x HVA 6</c:v>
                </c:pt>
                <c:pt idx="111">
                  <c:v>ARROYO GRANDE</c:v>
                </c:pt>
                <c:pt idx="112">
                  <c:v>BELOZEM</c:v>
                </c:pt>
                <c:pt idx="113">
                  <c:v>CHACARERO FA-EEA-572</c:v>
                </c:pt>
                <c:pt idx="114">
                  <c:v>DORADO</c:v>
                </c:pt>
                <c:pt idx="115">
                  <c:v>GUITA</c:v>
                </c:pt>
                <c:pt idx="116">
                  <c:v>IR 47686-9-4-1</c:v>
                </c:pt>
                <c:pt idx="117">
                  <c:v>IR 55549-1-2</c:v>
                </c:pt>
                <c:pt idx="118">
                  <c:v>IR 56381-139-2-2</c:v>
                </c:pt>
                <c:pt idx="119">
                  <c:v>LA PLATA GUALEJAN  FA-EEA-1821</c:v>
                </c:pt>
              </c:strCache>
            </c:strRef>
          </c:cat>
          <c:val>
            <c:numRef>
              <c:f>'Data matrix'!$BE$4:$BE$123</c:f>
              <c:numCache>
                <c:ptCount val="120"/>
                <c:pt idx="0">
                  <c:v>0.5824324324324324</c:v>
                </c:pt>
                <c:pt idx="1">
                  <c:v>0.6289398280802292</c:v>
                </c:pt>
                <c:pt idx="2">
                  <c:v>0.43144044321329644</c:v>
                </c:pt>
                <c:pt idx="3">
                  <c:v>0.6775956284153006</c:v>
                </c:pt>
                <c:pt idx="4">
                  <c:v>0.6409727947238252</c:v>
                </c:pt>
                <c:pt idx="5">
                  <c:v>0.6462303231151615</c:v>
                </c:pt>
                <c:pt idx="6">
                  <c:v>0.7157738095238095</c:v>
                </c:pt>
                <c:pt idx="7">
                  <c:v>0.6762932402411932</c:v>
                </c:pt>
                <c:pt idx="8">
                  <c:v>0.6029035012809564</c:v>
                </c:pt>
                <c:pt idx="9">
                  <c:v>0.5502392344497608</c:v>
                </c:pt>
                <c:pt idx="11">
                  <c:v>0.4308510638297874</c:v>
                </c:pt>
                <c:pt idx="12">
                  <c:v>0.6482109227871939</c:v>
                </c:pt>
                <c:pt idx="13">
                  <c:v>0.4945945945945946</c:v>
                </c:pt>
                <c:pt idx="14">
                  <c:v>0.5380116959064328</c:v>
                </c:pt>
                <c:pt idx="16">
                  <c:v>0.5687903970452447</c:v>
                </c:pt>
                <c:pt idx="17">
                  <c:v>0.6946188340807175</c:v>
                </c:pt>
                <c:pt idx="18">
                  <c:v>0.6476761619190405</c:v>
                </c:pt>
                <c:pt idx="19">
                  <c:v>0.6870286576168929</c:v>
                </c:pt>
                <c:pt idx="20">
                  <c:v>0.6543794386202232</c:v>
                </c:pt>
                <c:pt idx="22">
                  <c:v>0.6890595009596928</c:v>
                </c:pt>
                <c:pt idx="23">
                  <c:v>0.6620316724604094</c:v>
                </c:pt>
                <c:pt idx="24">
                  <c:v>0.5739466895958727</c:v>
                </c:pt>
                <c:pt idx="25">
                  <c:v>0.6776293251113396</c:v>
                </c:pt>
                <c:pt idx="26">
                  <c:v>0.6383984867591426</c:v>
                </c:pt>
                <c:pt idx="27">
                  <c:v>0.6645962732919255</c:v>
                </c:pt>
                <c:pt idx="29">
                  <c:v>0.6508678237650201</c:v>
                </c:pt>
                <c:pt idx="30">
                  <c:v>0.6224415204678363</c:v>
                </c:pt>
                <c:pt idx="31">
                  <c:v>0.6646075581395349</c:v>
                </c:pt>
                <c:pt idx="32">
                  <c:v>0.6479920674268715</c:v>
                </c:pt>
                <c:pt idx="34">
                  <c:v>0.6416040100250626</c:v>
                </c:pt>
                <c:pt idx="35">
                  <c:v>0.6487804878048781</c:v>
                </c:pt>
                <c:pt idx="36">
                  <c:v>0.6354892205638475</c:v>
                </c:pt>
                <c:pt idx="37">
                  <c:v>0.5484536082474227</c:v>
                </c:pt>
                <c:pt idx="38">
                  <c:v>0.6106870229007633</c:v>
                </c:pt>
                <c:pt idx="40">
                  <c:v>0.43651832460732987</c:v>
                </c:pt>
                <c:pt idx="41">
                  <c:v>0.5773793103448276</c:v>
                </c:pt>
                <c:pt idx="42">
                  <c:v>0.4839813374805599</c:v>
                </c:pt>
                <c:pt idx="43">
                  <c:v>0.6552716804605974</c:v>
                </c:pt>
                <c:pt idx="44">
                  <c:v>0.700032185387834</c:v>
                </c:pt>
                <c:pt idx="45">
                  <c:v>0.6276415891800508</c:v>
                </c:pt>
                <c:pt idx="46">
                  <c:v>0.6393162393162393</c:v>
                </c:pt>
                <c:pt idx="47">
                  <c:v>0.6301285976729946</c:v>
                </c:pt>
                <c:pt idx="48">
                  <c:v>0.5392561983471074</c:v>
                </c:pt>
                <c:pt idx="49">
                  <c:v>0.5308848080133556</c:v>
                </c:pt>
                <c:pt idx="50">
                  <c:v>0.5783267827063449</c:v>
                </c:pt>
                <c:pt idx="52">
                  <c:v>0.6395710826703563</c:v>
                </c:pt>
                <c:pt idx="53">
                  <c:v>0.5669710806697108</c:v>
                </c:pt>
                <c:pt idx="54">
                  <c:v>0.4923857868020305</c:v>
                </c:pt>
                <c:pt idx="55">
                  <c:v>0.6875</c:v>
                </c:pt>
                <c:pt idx="56">
                  <c:v>0.6638370118845501</c:v>
                </c:pt>
                <c:pt idx="57">
                  <c:v>0.6094588005850804</c:v>
                </c:pt>
                <c:pt idx="58">
                  <c:v>0.6931702344546381</c:v>
                </c:pt>
                <c:pt idx="59">
                  <c:v>0.7087490406753645</c:v>
                </c:pt>
                <c:pt idx="60">
                  <c:v>0.6039939713639789</c:v>
                </c:pt>
                <c:pt idx="61">
                  <c:v>0.6545146248410344</c:v>
                </c:pt>
                <c:pt idx="62">
                  <c:v>0.6334144363341443</c:v>
                </c:pt>
                <c:pt idx="63">
                  <c:v>0.6841644794400701</c:v>
                </c:pt>
                <c:pt idx="64">
                  <c:v>0.6312056737588654</c:v>
                </c:pt>
                <c:pt idx="65">
                  <c:v>0.637604579480405</c:v>
                </c:pt>
                <c:pt idx="66">
                  <c:v>0.6285714285714286</c:v>
                </c:pt>
                <c:pt idx="67">
                  <c:v>0.6563183209444687</c:v>
                </c:pt>
                <c:pt idx="68">
                  <c:v>0.6963258078795928</c:v>
                </c:pt>
                <c:pt idx="69">
                  <c:v>0.47414118535296335</c:v>
                </c:pt>
                <c:pt idx="70">
                  <c:v>0.6312724014336918</c:v>
                </c:pt>
                <c:pt idx="71">
                  <c:v>0.6303030303030303</c:v>
                </c:pt>
                <c:pt idx="72">
                  <c:v>0.6293794850147741</c:v>
                </c:pt>
                <c:pt idx="73">
                  <c:v>0.6460632818248713</c:v>
                </c:pt>
                <c:pt idx="74">
                  <c:v>0.5951972555746141</c:v>
                </c:pt>
                <c:pt idx="75">
                  <c:v>0.65764192139738</c:v>
                </c:pt>
                <c:pt idx="76">
                  <c:v>0.5246636771300449</c:v>
                </c:pt>
                <c:pt idx="77">
                  <c:v>0.568762278978389</c:v>
                </c:pt>
                <c:pt idx="78">
                  <c:v>0.6968460111317255</c:v>
                </c:pt>
                <c:pt idx="79">
                  <c:v>0.6713815789473685</c:v>
                </c:pt>
                <c:pt idx="80">
                  <c:v>0.4610332749562172</c:v>
                </c:pt>
                <c:pt idx="81">
                  <c:v>0.49967083607636603</c:v>
                </c:pt>
                <c:pt idx="82">
                  <c:v>0.6070878274268104</c:v>
                </c:pt>
                <c:pt idx="83">
                  <c:v>0.5843263061411549</c:v>
                </c:pt>
                <c:pt idx="84">
                  <c:v>0.672926447574335</c:v>
                </c:pt>
                <c:pt idx="85">
                  <c:v>0.6068006182380216</c:v>
                </c:pt>
                <c:pt idx="86">
                  <c:v>0.6494277236116999</c:v>
                </c:pt>
                <c:pt idx="87">
                  <c:v>0.582220367278798</c:v>
                </c:pt>
                <c:pt idx="88">
                  <c:v>0.6345492085340675</c:v>
                </c:pt>
                <c:pt idx="89">
                  <c:v>0.5923482849604221</c:v>
                </c:pt>
                <c:pt idx="90">
                  <c:v>0.6432727272727273</c:v>
                </c:pt>
                <c:pt idx="91">
                  <c:v>0.6908901251738526</c:v>
                </c:pt>
                <c:pt idx="92">
                  <c:v>0.6870424597364568</c:v>
                </c:pt>
                <c:pt idx="93">
                  <c:v>0.67687235044748</c:v>
                </c:pt>
                <c:pt idx="94">
                  <c:v>0.6137956473625968</c:v>
                </c:pt>
                <c:pt idx="95">
                  <c:v>0.39353448275862074</c:v>
                </c:pt>
                <c:pt idx="96">
                  <c:v>0.5388007054673721</c:v>
                </c:pt>
                <c:pt idx="97">
                  <c:v>0.6422836752899197</c:v>
                </c:pt>
                <c:pt idx="98">
                  <c:v>0.6830858384643245</c:v>
                </c:pt>
                <c:pt idx="99">
                  <c:v>0.6995497339336881</c:v>
                </c:pt>
                <c:pt idx="100">
                  <c:v>0.6410256410256411</c:v>
                </c:pt>
                <c:pt idx="101">
                  <c:v>0.6403743315508021</c:v>
                </c:pt>
                <c:pt idx="102">
                  <c:v>0.6687921980495123</c:v>
                </c:pt>
                <c:pt idx="103">
                  <c:v>0.6323291221250404</c:v>
                </c:pt>
                <c:pt idx="104">
                  <c:v>0.3682815136177392</c:v>
                </c:pt>
                <c:pt idx="105">
                  <c:v>0.6139473684210526</c:v>
                </c:pt>
                <c:pt idx="106">
                  <c:v>0.5990506329113924</c:v>
                </c:pt>
                <c:pt idx="107">
                  <c:v>0.6981860285604014</c:v>
                </c:pt>
                <c:pt idx="108">
                  <c:v>0.6766586730615508</c:v>
                </c:pt>
                <c:pt idx="109">
                  <c:v>0.6986869384934347</c:v>
                </c:pt>
                <c:pt idx="110">
                  <c:v>0.7023131076097888</c:v>
                </c:pt>
                <c:pt idx="111">
                  <c:v>0.6576385950063478</c:v>
                </c:pt>
                <c:pt idx="112">
                  <c:v>0.6761576971214017</c:v>
                </c:pt>
                <c:pt idx="113">
                  <c:v>0.6926126126126125</c:v>
                </c:pt>
                <c:pt idx="114">
                  <c:v>0.6588973554459884</c:v>
                </c:pt>
                <c:pt idx="115">
                  <c:v>0.6879944960440316</c:v>
                </c:pt>
                <c:pt idx="116">
                  <c:v>0.6449275362318841</c:v>
                </c:pt>
                <c:pt idx="117">
                  <c:v>0.5189873417721519</c:v>
                </c:pt>
                <c:pt idx="118">
                  <c:v>0.6505979073243647</c:v>
                </c:pt>
                <c:pt idx="119">
                  <c:v>0.6611541168191414</c:v>
                </c:pt>
              </c:numCache>
            </c:numRef>
          </c:val>
        </c:ser>
        <c:axId val="30539840"/>
        <c:axId val="6423105"/>
      </c:barChart>
      <c:cat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Genotypes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39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cargo grain lenght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65"/>
          <c:w val="0.83075"/>
          <c:h val="0.82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'Lab descriptors of grain qualit'!$AI$127:$AI$220</c:f>
              <c:numCache/>
            </c:numRef>
          </c:xVal>
          <c:yVal>
            <c:numRef>
              <c:f>'Lab descriptors of grain qualit'!$AJ$127:$AJ$220</c:f>
              <c:numCache/>
            </c:numRef>
          </c:yVal>
          <c:smooth val="0"/>
        </c:ser>
        <c:axId val="23890920"/>
        <c:axId val="13691689"/>
      </c:scatterChart>
      <c:valAx>
        <c:axId val="23890920"/>
        <c:scaling>
          <c:orientation val="minMax"/>
          <c:max val="8.850000000000007"/>
          <c:min val="4.2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 val="autoZero"/>
        <c:crossBetween val="midCat"/>
        <c:dispUnits/>
      </c:valAx>
      <c:valAx>
        <c:axId val="13691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909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3"/>
          <c:w val="0.116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Value frequency - cargo grain shape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065"/>
          <c:w val="0.83075"/>
          <c:h val="0.82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'Lab descriptors of grain qualit'!$BC$127:$BC$177</c:f>
              <c:numCache/>
            </c:numRef>
          </c:xVal>
          <c:yVal>
            <c:numRef>
              <c:f>'Lab descriptors of grain qualit'!$BD$127:$BD$177</c:f>
              <c:numCache/>
            </c:numRef>
          </c:yVal>
          <c:smooth val="0"/>
        </c:ser>
        <c:axId val="56116338"/>
        <c:axId val="35284995"/>
      </c:scatterChart>
      <c:valAx>
        <c:axId val="56116338"/>
        <c:scaling>
          <c:orientation val="minMax"/>
          <c:max val="4"/>
          <c:min val="1.5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 val="autoZero"/>
        <c:crossBetween val="midCat"/>
        <c:dispUnits/>
      </c:valAx>
      <c:valAx>
        <c:axId val="35284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4"/>
          <c:w val="0.116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Leaf blast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"/>
          <c:y val="0.26425"/>
          <c:w val="0.323"/>
          <c:h val="0.6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'Diseases (blast)'!$J$3:$J$11</c:f>
              <c:strCache/>
            </c:strRef>
          </c:cat>
          <c:val>
            <c:numRef>
              <c:f>'Diseases (blast)'!$K$3:$K$11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169"/>
          <c:w val="0.07475"/>
          <c:h val="0.80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Panicle blast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263"/>
          <c:w val="0.32775"/>
          <c:h val="0.62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'Diseases (blast)'!$J$3:$J$7</c:f>
              <c:strCache/>
            </c:strRef>
          </c:cat>
          <c:val>
            <c:numRef>
              <c:f>'Diseases (blast)'!$L$3:$L$7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34775"/>
          <c:w val="0.07525"/>
          <c:h val="0.44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Relationship Id="rId13" Type="http://schemas.openxmlformats.org/officeDocument/2006/relationships/chart" Target="/xl/charts/chart46.xml" /><Relationship Id="rId14" Type="http://schemas.openxmlformats.org/officeDocument/2006/relationships/chart" Target="/xl/charts/chart47.xml" /><Relationship Id="rId15" Type="http://schemas.openxmlformats.org/officeDocument/2006/relationships/chart" Target="/xl/charts/chart48.xml" /><Relationship Id="rId16" Type="http://schemas.openxmlformats.org/officeDocument/2006/relationships/chart" Target="/xl/charts/chart49.xml" /><Relationship Id="rId17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148</xdr:row>
      <xdr:rowOff>171450</xdr:rowOff>
    </xdr:from>
    <xdr:to>
      <xdr:col>26</xdr:col>
      <xdr:colOff>409575</xdr:colOff>
      <xdr:row>173</xdr:row>
      <xdr:rowOff>85725</xdr:rowOff>
    </xdr:to>
    <xdr:graphicFrame>
      <xdr:nvGraphicFramePr>
        <xdr:cNvPr id="1" name="Gráfico 1"/>
        <xdr:cNvGraphicFramePr/>
      </xdr:nvGraphicFramePr>
      <xdr:xfrm>
        <a:off x="638175" y="28613100"/>
        <a:ext cx="1487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123</xdr:row>
      <xdr:rowOff>38100</xdr:rowOff>
    </xdr:from>
    <xdr:to>
      <xdr:col>26</xdr:col>
      <xdr:colOff>409575</xdr:colOff>
      <xdr:row>147</xdr:row>
      <xdr:rowOff>142875</xdr:rowOff>
    </xdr:to>
    <xdr:graphicFrame>
      <xdr:nvGraphicFramePr>
        <xdr:cNvPr id="2" name="Gráfico 2"/>
        <xdr:cNvGraphicFramePr/>
      </xdr:nvGraphicFramePr>
      <xdr:xfrm>
        <a:off x="638175" y="23479125"/>
        <a:ext cx="1487805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64</xdr:col>
      <xdr:colOff>1304925</xdr:colOff>
      <xdr:row>126</xdr:row>
      <xdr:rowOff>66675</xdr:rowOff>
    </xdr:from>
    <xdr:to>
      <xdr:col>81</xdr:col>
      <xdr:colOff>523875</xdr:colOff>
      <xdr:row>150</xdr:row>
      <xdr:rowOff>180975</xdr:rowOff>
    </xdr:to>
    <xdr:graphicFrame>
      <xdr:nvGraphicFramePr>
        <xdr:cNvPr id="3" name="Gráfico 3"/>
        <xdr:cNvGraphicFramePr/>
      </xdr:nvGraphicFramePr>
      <xdr:xfrm>
        <a:off x="35413950" y="24107775"/>
        <a:ext cx="1557337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175</xdr:row>
      <xdr:rowOff>28575</xdr:rowOff>
    </xdr:from>
    <xdr:to>
      <xdr:col>26</xdr:col>
      <xdr:colOff>361950</xdr:colOff>
      <xdr:row>199</xdr:row>
      <xdr:rowOff>133350</xdr:rowOff>
    </xdr:to>
    <xdr:graphicFrame>
      <xdr:nvGraphicFramePr>
        <xdr:cNvPr id="4" name="Gráfico 4"/>
        <xdr:cNvGraphicFramePr/>
      </xdr:nvGraphicFramePr>
      <xdr:xfrm>
        <a:off x="581025" y="33870900"/>
        <a:ext cx="1488757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304800</xdr:colOff>
      <xdr:row>149</xdr:row>
      <xdr:rowOff>9525</xdr:rowOff>
    </xdr:from>
    <xdr:to>
      <xdr:col>55</xdr:col>
      <xdr:colOff>276225</xdr:colOff>
      <xdr:row>173</xdr:row>
      <xdr:rowOff>114300</xdr:rowOff>
    </xdr:to>
    <xdr:graphicFrame>
      <xdr:nvGraphicFramePr>
        <xdr:cNvPr id="5" name="Gráfico 5"/>
        <xdr:cNvGraphicFramePr/>
      </xdr:nvGraphicFramePr>
      <xdr:xfrm>
        <a:off x="15868650" y="28651200"/>
        <a:ext cx="14401800" cy="490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323850</xdr:colOff>
      <xdr:row>123</xdr:row>
      <xdr:rowOff>57150</xdr:rowOff>
    </xdr:from>
    <xdr:to>
      <xdr:col>55</xdr:col>
      <xdr:colOff>295275</xdr:colOff>
      <xdr:row>147</xdr:row>
      <xdr:rowOff>171450</xdr:rowOff>
    </xdr:to>
    <xdr:graphicFrame>
      <xdr:nvGraphicFramePr>
        <xdr:cNvPr id="6" name="Chart 6"/>
        <xdr:cNvGraphicFramePr/>
      </xdr:nvGraphicFramePr>
      <xdr:xfrm>
        <a:off x="15887700" y="23498175"/>
        <a:ext cx="14401800" cy="491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304800</xdr:colOff>
      <xdr:row>175</xdr:row>
      <xdr:rowOff>38100</xdr:rowOff>
    </xdr:from>
    <xdr:to>
      <xdr:col>55</xdr:col>
      <xdr:colOff>276225</xdr:colOff>
      <xdr:row>199</xdr:row>
      <xdr:rowOff>142875</xdr:rowOff>
    </xdr:to>
    <xdr:graphicFrame>
      <xdr:nvGraphicFramePr>
        <xdr:cNvPr id="7" name="Chart 7"/>
        <xdr:cNvGraphicFramePr/>
      </xdr:nvGraphicFramePr>
      <xdr:xfrm>
        <a:off x="15868650" y="33880425"/>
        <a:ext cx="14401800" cy="490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20</xdr:row>
      <xdr:rowOff>104775</xdr:rowOff>
    </xdr:from>
    <xdr:to>
      <xdr:col>13</xdr:col>
      <xdr:colOff>19050</xdr:colOff>
      <xdr:row>34</xdr:row>
      <xdr:rowOff>171450</xdr:rowOff>
    </xdr:to>
    <xdr:graphicFrame>
      <xdr:nvGraphicFramePr>
        <xdr:cNvPr id="1" name="Gráfico 2"/>
        <xdr:cNvGraphicFramePr/>
      </xdr:nvGraphicFramePr>
      <xdr:xfrm>
        <a:off x="5305425" y="3924300"/>
        <a:ext cx="5181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20</xdr:row>
      <xdr:rowOff>161925</xdr:rowOff>
    </xdr:from>
    <xdr:to>
      <xdr:col>20</xdr:col>
      <xdr:colOff>504825</xdr:colOff>
      <xdr:row>35</xdr:row>
      <xdr:rowOff>47625</xdr:rowOff>
    </xdr:to>
    <xdr:graphicFrame>
      <xdr:nvGraphicFramePr>
        <xdr:cNvPr id="2" name="Gráfico 3"/>
        <xdr:cNvGraphicFramePr/>
      </xdr:nvGraphicFramePr>
      <xdr:xfrm>
        <a:off x="10629900" y="3981450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4</xdr:row>
      <xdr:rowOff>171450</xdr:rowOff>
    </xdr:from>
    <xdr:to>
      <xdr:col>12</xdr:col>
      <xdr:colOff>542925</xdr:colOff>
      <xdr:row>19</xdr:row>
      <xdr:rowOff>57150</xdr:rowOff>
    </xdr:to>
    <xdr:graphicFrame>
      <xdr:nvGraphicFramePr>
        <xdr:cNvPr id="3" name="Gráfico 4"/>
        <xdr:cNvGraphicFramePr/>
      </xdr:nvGraphicFramePr>
      <xdr:xfrm>
        <a:off x="5133975" y="942975"/>
        <a:ext cx="5191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152400</xdr:colOff>
      <xdr:row>4</xdr:row>
      <xdr:rowOff>161925</xdr:rowOff>
    </xdr:from>
    <xdr:to>
      <xdr:col>20</xdr:col>
      <xdr:colOff>495300</xdr:colOff>
      <xdr:row>19</xdr:row>
      <xdr:rowOff>47625</xdr:rowOff>
    </xdr:to>
    <xdr:graphicFrame>
      <xdr:nvGraphicFramePr>
        <xdr:cNvPr id="4" name="Gráfico 5"/>
        <xdr:cNvGraphicFramePr/>
      </xdr:nvGraphicFramePr>
      <xdr:xfrm>
        <a:off x="10620375" y="933450"/>
        <a:ext cx="5143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25</xdr:row>
      <xdr:rowOff>47625</xdr:rowOff>
    </xdr:from>
    <xdr:to>
      <xdr:col>13</xdr:col>
      <xdr:colOff>971550</xdr:colOff>
      <xdr:row>39</xdr:row>
      <xdr:rowOff>133350</xdr:rowOff>
    </xdr:to>
    <xdr:graphicFrame>
      <xdr:nvGraphicFramePr>
        <xdr:cNvPr id="1" name="Gráfico 1"/>
        <xdr:cNvGraphicFramePr/>
      </xdr:nvGraphicFramePr>
      <xdr:xfrm>
        <a:off x="9096375" y="4838700"/>
        <a:ext cx="52292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619125</xdr:colOff>
      <xdr:row>8</xdr:row>
      <xdr:rowOff>57150</xdr:rowOff>
    </xdr:from>
    <xdr:to>
      <xdr:col>13</xdr:col>
      <xdr:colOff>1228725</xdr:colOff>
      <xdr:row>24</xdr:row>
      <xdr:rowOff>142875</xdr:rowOff>
    </xdr:to>
    <xdr:graphicFrame>
      <xdr:nvGraphicFramePr>
        <xdr:cNvPr id="2" name="Gráfico 2"/>
        <xdr:cNvGraphicFramePr/>
      </xdr:nvGraphicFramePr>
      <xdr:xfrm>
        <a:off x="9353550" y="1609725"/>
        <a:ext cx="5229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1504950</xdr:colOff>
      <xdr:row>24</xdr:row>
      <xdr:rowOff>133350</xdr:rowOff>
    </xdr:from>
    <xdr:to>
      <xdr:col>20</xdr:col>
      <xdr:colOff>9525</xdr:colOff>
      <xdr:row>39</xdr:row>
      <xdr:rowOff>19050</xdr:rowOff>
    </xdr:to>
    <xdr:graphicFrame>
      <xdr:nvGraphicFramePr>
        <xdr:cNvPr id="3" name="Gráfico 3"/>
        <xdr:cNvGraphicFramePr/>
      </xdr:nvGraphicFramePr>
      <xdr:xfrm>
        <a:off x="14859000" y="4733925"/>
        <a:ext cx="71723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1295400</xdr:colOff>
      <xdr:row>8</xdr:row>
      <xdr:rowOff>38100</xdr:rowOff>
    </xdr:from>
    <xdr:to>
      <xdr:col>16</xdr:col>
      <xdr:colOff>1123950</xdr:colOff>
      <xdr:row>22</xdr:row>
      <xdr:rowOff>123825</xdr:rowOff>
    </xdr:to>
    <xdr:graphicFrame>
      <xdr:nvGraphicFramePr>
        <xdr:cNvPr id="4" name="Gráfico 4"/>
        <xdr:cNvGraphicFramePr/>
      </xdr:nvGraphicFramePr>
      <xdr:xfrm>
        <a:off x="14649450" y="1590675"/>
        <a:ext cx="52197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38100</xdr:rowOff>
    </xdr:from>
    <xdr:to>
      <xdr:col>16</xdr:col>
      <xdr:colOff>2143125</xdr:colOff>
      <xdr:row>76</xdr:row>
      <xdr:rowOff>133350</xdr:rowOff>
    </xdr:to>
    <xdr:graphicFrame>
      <xdr:nvGraphicFramePr>
        <xdr:cNvPr id="1" name="Gráfico 5"/>
        <xdr:cNvGraphicFramePr/>
      </xdr:nvGraphicFramePr>
      <xdr:xfrm>
        <a:off x="314325" y="8867775"/>
        <a:ext cx="30984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79</xdr:row>
      <xdr:rowOff>28575</xdr:rowOff>
    </xdr:from>
    <xdr:to>
      <xdr:col>16</xdr:col>
      <xdr:colOff>2143125</xdr:colOff>
      <xdr:row>103</xdr:row>
      <xdr:rowOff>123825</xdr:rowOff>
    </xdr:to>
    <xdr:graphicFrame>
      <xdr:nvGraphicFramePr>
        <xdr:cNvPr id="2" name="Gráfico 6"/>
        <xdr:cNvGraphicFramePr/>
      </xdr:nvGraphicFramePr>
      <xdr:xfrm>
        <a:off x="571500" y="13230225"/>
        <a:ext cx="30727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16</xdr:col>
      <xdr:colOff>2143125</xdr:colOff>
      <xdr:row>130</xdr:row>
      <xdr:rowOff>95250</xdr:rowOff>
    </xdr:to>
    <xdr:graphicFrame>
      <xdr:nvGraphicFramePr>
        <xdr:cNvPr id="3" name="Gráfico 7"/>
        <xdr:cNvGraphicFramePr/>
      </xdr:nvGraphicFramePr>
      <xdr:xfrm>
        <a:off x="0" y="17573625"/>
        <a:ext cx="312991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361950</xdr:colOff>
      <xdr:row>9</xdr:row>
      <xdr:rowOff>0</xdr:rowOff>
    </xdr:from>
    <xdr:to>
      <xdr:col>6</xdr:col>
      <xdr:colOff>1419225</xdr:colOff>
      <xdr:row>25</xdr:row>
      <xdr:rowOff>9525</xdr:rowOff>
    </xdr:to>
    <xdr:graphicFrame>
      <xdr:nvGraphicFramePr>
        <xdr:cNvPr id="4" name="Gráfico 8"/>
        <xdr:cNvGraphicFramePr/>
      </xdr:nvGraphicFramePr>
      <xdr:xfrm>
        <a:off x="4191000" y="1724025"/>
        <a:ext cx="66294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1695450</xdr:colOff>
      <xdr:row>8</xdr:row>
      <xdr:rowOff>85725</xdr:rowOff>
    </xdr:from>
    <xdr:to>
      <xdr:col>10</xdr:col>
      <xdr:colOff>0</xdr:colOff>
      <xdr:row>24</xdr:row>
      <xdr:rowOff>85725</xdr:rowOff>
    </xdr:to>
    <xdr:graphicFrame>
      <xdr:nvGraphicFramePr>
        <xdr:cNvPr id="5" name="Gráfico 9"/>
        <xdr:cNvGraphicFramePr/>
      </xdr:nvGraphicFramePr>
      <xdr:xfrm>
        <a:off x="11096625" y="1619250"/>
        <a:ext cx="60293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6</xdr:col>
      <xdr:colOff>1057275</xdr:colOff>
      <xdr:row>46</xdr:row>
      <xdr:rowOff>19050</xdr:rowOff>
    </xdr:to>
    <xdr:graphicFrame>
      <xdr:nvGraphicFramePr>
        <xdr:cNvPr id="6" name="Gráfico 11"/>
        <xdr:cNvGraphicFramePr/>
      </xdr:nvGraphicFramePr>
      <xdr:xfrm>
        <a:off x="3829050" y="5267325"/>
        <a:ext cx="662940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1924050</xdr:colOff>
      <xdr:row>30</xdr:row>
      <xdr:rowOff>0</xdr:rowOff>
    </xdr:from>
    <xdr:to>
      <xdr:col>10</xdr:col>
      <xdr:colOff>0</xdr:colOff>
      <xdr:row>46</xdr:row>
      <xdr:rowOff>19050</xdr:rowOff>
    </xdr:to>
    <xdr:graphicFrame>
      <xdr:nvGraphicFramePr>
        <xdr:cNvPr id="7" name="Gráfico 12"/>
        <xdr:cNvGraphicFramePr/>
      </xdr:nvGraphicFramePr>
      <xdr:xfrm>
        <a:off x="11325225" y="5267325"/>
        <a:ext cx="58007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142875</xdr:colOff>
      <xdr:row>37</xdr:row>
      <xdr:rowOff>123825</xdr:rowOff>
    </xdr:from>
    <xdr:to>
      <xdr:col>15</xdr:col>
      <xdr:colOff>552450</xdr:colOff>
      <xdr:row>52</xdr:row>
      <xdr:rowOff>28575</xdr:rowOff>
    </xdr:to>
    <xdr:graphicFrame>
      <xdr:nvGraphicFramePr>
        <xdr:cNvPr id="8" name="Gráfico 14"/>
        <xdr:cNvGraphicFramePr/>
      </xdr:nvGraphicFramePr>
      <xdr:xfrm>
        <a:off x="22402800" y="6524625"/>
        <a:ext cx="522922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1619250</xdr:colOff>
      <xdr:row>38</xdr:row>
      <xdr:rowOff>0</xdr:rowOff>
    </xdr:from>
    <xdr:to>
      <xdr:col>17</xdr:col>
      <xdr:colOff>1876425</xdr:colOff>
      <xdr:row>52</xdr:row>
      <xdr:rowOff>76200</xdr:rowOff>
    </xdr:to>
    <xdr:graphicFrame>
      <xdr:nvGraphicFramePr>
        <xdr:cNvPr id="9" name="Gráfico 15"/>
        <xdr:cNvGraphicFramePr/>
      </xdr:nvGraphicFramePr>
      <xdr:xfrm>
        <a:off x="28698825" y="6562725"/>
        <a:ext cx="5229225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1362075</xdr:colOff>
      <xdr:row>36</xdr:row>
      <xdr:rowOff>95250</xdr:rowOff>
    </xdr:from>
    <xdr:to>
      <xdr:col>23</xdr:col>
      <xdr:colOff>28575</xdr:colOff>
      <xdr:row>51</xdr:row>
      <xdr:rowOff>0</xdr:rowOff>
    </xdr:to>
    <xdr:graphicFrame>
      <xdr:nvGraphicFramePr>
        <xdr:cNvPr id="10" name="Gráfico 16"/>
        <xdr:cNvGraphicFramePr/>
      </xdr:nvGraphicFramePr>
      <xdr:xfrm>
        <a:off x="35385375" y="6334125"/>
        <a:ext cx="519112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104775</xdr:colOff>
      <xdr:row>19</xdr:row>
      <xdr:rowOff>104775</xdr:rowOff>
    </xdr:from>
    <xdr:to>
      <xdr:col>15</xdr:col>
      <xdr:colOff>485775</xdr:colOff>
      <xdr:row>34</xdr:row>
      <xdr:rowOff>19050</xdr:rowOff>
    </xdr:to>
    <xdr:graphicFrame>
      <xdr:nvGraphicFramePr>
        <xdr:cNvPr id="11" name="Gráfico 17"/>
        <xdr:cNvGraphicFramePr/>
      </xdr:nvGraphicFramePr>
      <xdr:xfrm>
        <a:off x="22364700" y="3590925"/>
        <a:ext cx="5200650" cy="2343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1924050</xdr:colOff>
      <xdr:row>20</xdr:row>
      <xdr:rowOff>95250</xdr:rowOff>
    </xdr:from>
    <xdr:to>
      <xdr:col>18</xdr:col>
      <xdr:colOff>180975</xdr:colOff>
      <xdr:row>35</xdr:row>
      <xdr:rowOff>0</xdr:rowOff>
    </xdr:to>
    <xdr:graphicFrame>
      <xdr:nvGraphicFramePr>
        <xdr:cNvPr id="12" name="Gráfico 18"/>
        <xdr:cNvGraphicFramePr/>
      </xdr:nvGraphicFramePr>
      <xdr:xfrm>
        <a:off x="29003625" y="3743325"/>
        <a:ext cx="5200650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847725</xdr:colOff>
      <xdr:row>19</xdr:row>
      <xdr:rowOff>123825</xdr:rowOff>
    </xdr:from>
    <xdr:to>
      <xdr:col>22</xdr:col>
      <xdr:colOff>219075</xdr:colOff>
      <xdr:row>34</xdr:row>
      <xdr:rowOff>28575</xdr:rowOff>
    </xdr:to>
    <xdr:graphicFrame>
      <xdr:nvGraphicFramePr>
        <xdr:cNvPr id="13" name="Gráfico 19"/>
        <xdr:cNvGraphicFramePr/>
      </xdr:nvGraphicFramePr>
      <xdr:xfrm>
        <a:off x="34871025" y="3609975"/>
        <a:ext cx="521017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4</xdr:col>
      <xdr:colOff>1533525</xdr:colOff>
      <xdr:row>22</xdr:row>
      <xdr:rowOff>123825</xdr:rowOff>
    </xdr:to>
    <xdr:graphicFrame>
      <xdr:nvGraphicFramePr>
        <xdr:cNvPr id="1" name="Gráfico 1"/>
        <xdr:cNvGraphicFramePr/>
      </xdr:nvGraphicFramePr>
      <xdr:xfrm>
        <a:off x="0" y="1600200"/>
        <a:ext cx="52101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8</xdr:row>
      <xdr:rowOff>104775</xdr:rowOff>
    </xdr:from>
    <xdr:to>
      <xdr:col>7</xdr:col>
      <xdr:colOff>1104900</xdr:colOff>
      <xdr:row>22</xdr:row>
      <xdr:rowOff>152400</xdr:rowOff>
    </xdr:to>
    <xdr:graphicFrame>
      <xdr:nvGraphicFramePr>
        <xdr:cNvPr id="2" name="Gráfico 2"/>
        <xdr:cNvGraphicFramePr/>
      </xdr:nvGraphicFramePr>
      <xdr:xfrm>
        <a:off x="4257675" y="1638300"/>
        <a:ext cx="52292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8</xdr:row>
      <xdr:rowOff>123825</xdr:rowOff>
    </xdr:from>
    <xdr:to>
      <xdr:col>11</xdr:col>
      <xdr:colOff>314325</xdr:colOff>
      <xdr:row>23</xdr:row>
      <xdr:rowOff>9525</xdr:rowOff>
    </xdr:to>
    <xdr:graphicFrame>
      <xdr:nvGraphicFramePr>
        <xdr:cNvPr id="3" name="Gráfico 3"/>
        <xdr:cNvGraphicFramePr/>
      </xdr:nvGraphicFramePr>
      <xdr:xfrm>
        <a:off x="8458200" y="1657350"/>
        <a:ext cx="52387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752475</xdr:colOff>
      <xdr:row>8</xdr:row>
      <xdr:rowOff>38100</xdr:rowOff>
    </xdr:from>
    <xdr:to>
      <xdr:col>17</xdr:col>
      <xdr:colOff>476250</xdr:colOff>
      <xdr:row>22</xdr:row>
      <xdr:rowOff>95250</xdr:rowOff>
    </xdr:to>
    <xdr:graphicFrame>
      <xdr:nvGraphicFramePr>
        <xdr:cNvPr id="4" name="Gráfico 4"/>
        <xdr:cNvGraphicFramePr/>
      </xdr:nvGraphicFramePr>
      <xdr:xfrm>
        <a:off x="12830175" y="1571625"/>
        <a:ext cx="51435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30</xdr:col>
      <xdr:colOff>333375</xdr:colOff>
      <xdr:row>50</xdr:row>
      <xdr:rowOff>57150</xdr:rowOff>
    </xdr:to>
    <xdr:graphicFrame>
      <xdr:nvGraphicFramePr>
        <xdr:cNvPr id="5" name="Gráfico 5"/>
        <xdr:cNvGraphicFramePr/>
      </xdr:nvGraphicFramePr>
      <xdr:xfrm>
        <a:off x="0" y="4314825"/>
        <a:ext cx="267462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38100</xdr:rowOff>
    </xdr:from>
    <xdr:to>
      <xdr:col>21</xdr:col>
      <xdr:colOff>57150</xdr:colOff>
      <xdr:row>57</xdr:row>
      <xdr:rowOff>38100</xdr:rowOff>
    </xdr:to>
    <xdr:graphicFrame>
      <xdr:nvGraphicFramePr>
        <xdr:cNvPr id="1" name="Gráfico 3"/>
        <xdr:cNvGraphicFramePr/>
      </xdr:nvGraphicFramePr>
      <xdr:xfrm>
        <a:off x="142875" y="5610225"/>
        <a:ext cx="32642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59</xdr:row>
      <xdr:rowOff>38100</xdr:rowOff>
    </xdr:from>
    <xdr:to>
      <xdr:col>21</xdr:col>
      <xdr:colOff>19050</xdr:colOff>
      <xdr:row>84</xdr:row>
      <xdr:rowOff>38100</xdr:rowOff>
    </xdr:to>
    <xdr:graphicFrame>
      <xdr:nvGraphicFramePr>
        <xdr:cNvPr id="2" name="Gráfico 4"/>
        <xdr:cNvGraphicFramePr/>
      </xdr:nvGraphicFramePr>
      <xdr:xfrm>
        <a:off x="142875" y="9982200"/>
        <a:ext cx="326040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85</xdr:row>
      <xdr:rowOff>28575</xdr:rowOff>
    </xdr:from>
    <xdr:to>
      <xdr:col>21</xdr:col>
      <xdr:colOff>38100</xdr:colOff>
      <xdr:row>110</xdr:row>
      <xdr:rowOff>28575</xdr:rowOff>
    </xdr:to>
    <xdr:graphicFrame>
      <xdr:nvGraphicFramePr>
        <xdr:cNvPr id="3" name="Gráfico 5"/>
        <xdr:cNvGraphicFramePr/>
      </xdr:nvGraphicFramePr>
      <xdr:xfrm>
        <a:off x="47625" y="14182725"/>
        <a:ext cx="327183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17</xdr:row>
      <xdr:rowOff>0</xdr:rowOff>
    </xdr:from>
    <xdr:to>
      <xdr:col>3</xdr:col>
      <xdr:colOff>400050</xdr:colOff>
      <xdr:row>31</xdr:row>
      <xdr:rowOff>28575</xdr:rowOff>
    </xdr:to>
    <xdr:graphicFrame>
      <xdr:nvGraphicFramePr>
        <xdr:cNvPr id="4" name="Gráfico 6"/>
        <xdr:cNvGraphicFramePr/>
      </xdr:nvGraphicFramePr>
      <xdr:xfrm>
        <a:off x="447675" y="3143250"/>
        <a:ext cx="521970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1343025</xdr:colOff>
      <xdr:row>12</xdr:row>
      <xdr:rowOff>9525</xdr:rowOff>
    </xdr:from>
    <xdr:to>
      <xdr:col>20</xdr:col>
      <xdr:colOff>838200</xdr:colOff>
      <xdr:row>26</xdr:row>
      <xdr:rowOff>38100</xdr:rowOff>
    </xdr:to>
    <xdr:graphicFrame>
      <xdr:nvGraphicFramePr>
        <xdr:cNvPr id="5" name="Gráfico 7"/>
        <xdr:cNvGraphicFramePr/>
      </xdr:nvGraphicFramePr>
      <xdr:xfrm>
        <a:off x="23241000" y="2314575"/>
        <a:ext cx="90487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923925</xdr:colOff>
      <xdr:row>18</xdr:row>
      <xdr:rowOff>57150</xdr:rowOff>
    </xdr:from>
    <xdr:to>
      <xdr:col>25</xdr:col>
      <xdr:colOff>0</xdr:colOff>
      <xdr:row>32</xdr:row>
      <xdr:rowOff>85725</xdr:rowOff>
    </xdr:to>
    <xdr:graphicFrame>
      <xdr:nvGraphicFramePr>
        <xdr:cNvPr id="6" name="Gráfico 9"/>
        <xdr:cNvGraphicFramePr/>
      </xdr:nvGraphicFramePr>
      <xdr:xfrm>
        <a:off x="32375475" y="3362325"/>
        <a:ext cx="622935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609600</xdr:colOff>
      <xdr:row>9</xdr:row>
      <xdr:rowOff>47625</xdr:rowOff>
    </xdr:from>
    <xdr:to>
      <xdr:col>10</xdr:col>
      <xdr:colOff>171450</xdr:colOff>
      <xdr:row>23</xdr:row>
      <xdr:rowOff>114300</xdr:rowOff>
    </xdr:to>
    <xdr:graphicFrame>
      <xdr:nvGraphicFramePr>
        <xdr:cNvPr id="7" name="Gráfico 10"/>
        <xdr:cNvGraphicFramePr/>
      </xdr:nvGraphicFramePr>
      <xdr:xfrm>
        <a:off x="12601575" y="1781175"/>
        <a:ext cx="5210175" cy="2447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110</xdr:row>
      <xdr:rowOff>133350</xdr:rowOff>
    </xdr:from>
    <xdr:to>
      <xdr:col>21</xdr:col>
      <xdr:colOff>38100</xdr:colOff>
      <xdr:row>138</xdr:row>
      <xdr:rowOff>47625</xdr:rowOff>
    </xdr:to>
    <xdr:graphicFrame>
      <xdr:nvGraphicFramePr>
        <xdr:cNvPr id="8" name="Gráfico 11"/>
        <xdr:cNvGraphicFramePr/>
      </xdr:nvGraphicFramePr>
      <xdr:xfrm>
        <a:off x="47625" y="18335625"/>
        <a:ext cx="32718375" cy="4448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168</xdr:row>
      <xdr:rowOff>28575</xdr:rowOff>
    </xdr:from>
    <xdr:to>
      <xdr:col>21</xdr:col>
      <xdr:colOff>47625</xdr:colOff>
      <xdr:row>195</xdr:row>
      <xdr:rowOff>123825</xdr:rowOff>
    </xdr:to>
    <xdr:graphicFrame>
      <xdr:nvGraphicFramePr>
        <xdr:cNvPr id="9" name="Gráfico 13"/>
        <xdr:cNvGraphicFramePr/>
      </xdr:nvGraphicFramePr>
      <xdr:xfrm>
        <a:off x="47625" y="27622500"/>
        <a:ext cx="32727900" cy="4467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196</xdr:row>
      <xdr:rowOff>28575</xdr:rowOff>
    </xdr:from>
    <xdr:to>
      <xdr:col>21</xdr:col>
      <xdr:colOff>38100</xdr:colOff>
      <xdr:row>223</xdr:row>
      <xdr:rowOff>123825</xdr:rowOff>
    </xdr:to>
    <xdr:graphicFrame>
      <xdr:nvGraphicFramePr>
        <xdr:cNvPr id="10" name="Gráfico 15"/>
        <xdr:cNvGraphicFramePr/>
      </xdr:nvGraphicFramePr>
      <xdr:xfrm>
        <a:off x="47625" y="32156400"/>
        <a:ext cx="32718375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225</xdr:row>
      <xdr:rowOff>28575</xdr:rowOff>
    </xdr:from>
    <xdr:to>
      <xdr:col>21</xdr:col>
      <xdr:colOff>38100</xdr:colOff>
      <xdr:row>252</xdr:row>
      <xdr:rowOff>123825</xdr:rowOff>
    </xdr:to>
    <xdr:graphicFrame>
      <xdr:nvGraphicFramePr>
        <xdr:cNvPr id="11" name="Gráfico 16"/>
        <xdr:cNvGraphicFramePr/>
      </xdr:nvGraphicFramePr>
      <xdr:xfrm>
        <a:off x="47625" y="36852225"/>
        <a:ext cx="32718375" cy="4467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19</xdr:row>
      <xdr:rowOff>123825</xdr:rowOff>
    </xdr:from>
    <xdr:to>
      <xdr:col>31</xdr:col>
      <xdr:colOff>238125</xdr:colOff>
      <xdr:row>34</xdr:row>
      <xdr:rowOff>28575</xdr:rowOff>
    </xdr:to>
    <xdr:graphicFrame>
      <xdr:nvGraphicFramePr>
        <xdr:cNvPr id="12" name="Gráfico 18"/>
        <xdr:cNvGraphicFramePr/>
      </xdr:nvGraphicFramePr>
      <xdr:xfrm>
        <a:off x="38604825" y="3590925"/>
        <a:ext cx="50006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180975</xdr:colOff>
      <xdr:row>5</xdr:row>
      <xdr:rowOff>142875</xdr:rowOff>
    </xdr:from>
    <xdr:to>
      <xdr:col>30</xdr:col>
      <xdr:colOff>285750</xdr:colOff>
      <xdr:row>20</xdr:row>
      <xdr:rowOff>28575</xdr:rowOff>
    </xdr:to>
    <xdr:graphicFrame>
      <xdr:nvGraphicFramePr>
        <xdr:cNvPr id="13" name="Gráfico 21"/>
        <xdr:cNvGraphicFramePr/>
      </xdr:nvGraphicFramePr>
      <xdr:xfrm>
        <a:off x="38785800" y="1114425"/>
        <a:ext cx="4181475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295275</xdr:colOff>
      <xdr:row>3</xdr:row>
      <xdr:rowOff>114300</xdr:rowOff>
    </xdr:from>
    <xdr:to>
      <xdr:col>24</xdr:col>
      <xdr:colOff>942975</xdr:colOff>
      <xdr:row>18</xdr:row>
      <xdr:rowOff>0</xdr:rowOff>
    </xdr:to>
    <xdr:graphicFrame>
      <xdr:nvGraphicFramePr>
        <xdr:cNvPr id="14" name="Gráfico 22"/>
        <xdr:cNvGraphicFramePr/>
      </xdr:nvGraphicFramePr>
      <xdr:xfrm>
        <a:off x="33023175" y="704850"/>
        <a:ext cx="5210175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438150</xdr:colOff>
      <xdr:row>2</xdr:row>
      <xdr:rowOff>19050</xdr:rowOff>
    </xdr:from>
    <xdr:to>
      <xdr:col>3</xdr:col>
      <xdr:colOff>409575</xdr:colOff>
      <xdr:row>16</xdr:row>
      <xdr:rowOff>85725</xdr:rowOff>
    </xdr:to>
    <xdr:graphicFrame>
      <xdr:nvGraphicFramePr>
        <xdr:cNvPr id="15" name="Gráfico 23"/>
        <xdr:cNvGraphicFramePr/>
      </xdr:nvGraphicFramePr>
      <xdr:xfrm>
        <a:off x="438150" y="419100"/>
        <a:ext cx="5238750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139</xdr:row>
      <xdr:rowOff>38100</xdr:rowOff>
    </xdr:from>
    <xdr:to>
      <xdr:col>21</xdr:col>
      <xdr:colOff>38100</xdr:colOff>
      <xdr:row>166</xdr:row>
      <xdr:rowOff>133350</xdr:rowOff>
    </xdr:to>
    <xdr:graphicFrame>
      <xdr:nvGraphicFramePr>
        <xdr:cNvPr id="16" name="Gráfico 14"/>
        <xdr:cNvGraphicFramePr/>
      </xdr:nvGraphicFramePr>
      <xdr:xfrm>
        <a:off x="47625" y="22936200"/>
        <a:ext cx="32718375" cy="4467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47625</xdr:colOff>
      <xdr:row>254</xdr:row>
      <xdr:rowOff>28575</xdr:rowOff>
    </xdr:from>
    <xdr:to>
      <xdr:col>21</xdr:col>
      <xdr:colOff>38100</xdr:colOff>
      <xdr:row>281</xdr:row>
      <xdr:rowOff>123825</xdr:rowOff>
    </xdr:to>
    <xdr:graphicFrame>
      <xdr:nvGraphicFramePr>
        <xdr:cNvPr id="17" name="Gráfico 17"/>
        <xdr:cNvGraphicFramePr/>
      </xdr:nvGraphicFramePr>
      <xdr:xfrm>
        <a:off x="47625" y="41548050"/>
        <a:ext cx="32718375" cy="4467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olive@itqb.unl.pt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11.421875" defaultRowHeight="12.75"/>
  <cols>
    <col min="1" max="1" width="25.7109375" style="3" customWidth="1"/>
    <col min="2" max="2" width="20.421875" style="3" bestFit="1" customWidth="1"/>
    <col min="3" max="16384" width="11.421875" style="3" customWidth="1"/>
  </cols>
  <sheetData>
    <row r="1" s="2" customFormat="1" ht="12.75">
      <c r="A1" s="4" t="s">
        <v>19</v>
      </c>
    </row>
    <row r="4" spans="1:2" ht="12.75">
      <c r="A4" s="9" t="s">
        <v>2</v>
      </c>
      <c r="B4" s="2" t="s">
        <v>50</v>
      </c>
    </row>
    <row r="5" spans="1:2" ht="12.75">
      <c r="A5" s="9" t="s">
        <v>0</v>
      </c>
      <c r="B5" s="2" t="s">
        <v>51</v>
      </c>
    </row>
    <row r="6" spans="1:2" ht="12.75">
      <c r="A6" s="1" t="s">
        <v>4</v>
      </c>
      <c r="B6" s="26" t="s">
        <v>52</v>
      </c>
    </row>
    <row r="7" ht="12.75">
      <c r="A7" s="1" t="s">
        <v>1</v>
      </c>
    </row>
    <row r="8" ht="12.75">
      <c r="A8" s="9" t="s">
        <v>6</v>
      </c>
    </row>
    <row r="9" ht="12.75">
      <c r="A9" s="1" t="s">
        <v>3</v>
      </c>
    </row>
    <row r="10" ht="12.75">
      <c r="A10" s="1" t="s">
        <v>5</v>
      </c>
    </row>
  </sheetData>
  <sheetProtection/>
  <hyperlinks>
    <hyperlink ref="B6" r:id="rId1" display="mmolive@itqb.unl.pt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3">
      <selection activeCell="H131" sqref="H131"/>
    </sheetView>
  </sheetViews>
  <sheetFormatPr defaultColWidth="10.28125" defaultRowHeight="12.75"/>
  <cols>
    <col min="1" max="1" width="4.57421875" style="217" bestFit="1" customWidth="1"/>
    <col min="2" max="2" width="31.28125" style="217" bestFit="1" customWidth="1"/>
    <col min="3" max="3" width="10.28125" style="217" customWidth="1"/>
    <col min="4" max="4" width="13.00390625" style="217" bestFit="1" customWidth="1"/>
    <col min="5" max="5" width="11.00390625" style="217" customWidth="1"/>
    <col min="6" max="6" width="9.8515625" style="217" bestFit="1" customWidth="1"/>
    <col min="7" max="7" width="11.7109375" style="217" bestFit="1" customWidth="1"/>
    <col min="8" max="8" width="11.140625" style="217" bestFit="1" customWidth="1"/>
    <col min="9" max="11" width="10.28125" style="217" customWidth="1"/>
    <col min="12" max="12" width="13.00390625" style="217" bestFit="1" customWidth="1"/>
    <col min="13" max="16384" width="10.28125" style="217" customWidth="1"/>
  </cols>
  <sheetData>
    <row r="1" ht="15">
      <c r="B1" s="214"/>
    </row>
    <row r="2" spans="1:14" ht="15.75" thickBot="1">
      <c r="A2" s="332"/>
      <c r="B2" s="219" t="s">
        <v>112</v>
      </c>
      <c r="C2" s="317" t="s">
        <v>79</v>
      </c>
      <c r="D2" s="317" t="s">
        <v>80</v>
      </c>
      <c r="E2" s="317" t="s">
        <v>270</v>
      </c>
      <c r="F2" s="317" t="s">
        <v>82</v>
      </c>
      <c r="G2" s="267" t="s">
        <v>83</v>
      </c>
      <c r="H2" s="267" t="s">
        <v>84</v>
      </c>
      <c r="K2" s="317" t="s">
        <v>79</v>
      </c>
      <c r="L2" s="317" t="s">
        <v>80</v>
      </c>
      <c r="N2" s="317" t="s">
        <v>80</v>
      </c>
    </row>
    <row r="3" spans="1:14" ht="15">
      <c r="A3" s="90">
        <v>85</v>
      </c>
      <c r="B3" s="223" t="s">
        <v>122</v>
      </c>
      <c r="C3" s="269">
        <v>4</v>
      </c>
      <c r="D3" s="269">
        <v>1</v>
      </c>
      <c r="E3" s="269"/>
      <c r="F3" s="269"/>
      <c r="J3" s="217">
        <v>1</v>
      </c>
      <c r="K3" s="258">
        <f aca="true" t="shared" si="0" ref="K3:K12">COUNTIF($C$3:$C$112,"="&amp;J3)</f>
        <v>4</v>
      </c>
      <c r="L3" s="258">
        <f>COUNTIF($D$3:$D$112,"="&amp;J3)-10</f>
        <v>86</v>
      </c>
      <c r="M3" s="217">
        <v>1</v>
      </c>
      <c r="N3" s="258">
        <f>COUNTIF($D$3:$D$112,"="&amp;M3)-10</f>
        <v>86</v>
      </c>
    </row>
    <row r="4" spans="1:14" ht="15">
      <c r="A4" s="90">
        <v>97</v>
      </c>
      <c r="B4" s="235" t="s">
        <v>123</v>
      </c>
      <c r="C4" s="278">
        <v>4</v>
      </c>
      <c r="D4" s="278">
        <v>1</v>
      </c>
      <c r="E4" s="278"/>
      <c r="F4" s="278"/>
      <c r="J4" s="334" t="s">
        <v>265</v>
      </c>
      <c r="K4" s="258">
        <f t="shared" si="0"/>
        <v>8</v>
      </c>
      <c r="L4" s="258">
        <f aca="true" t="shared" si="1" ref="L4:L12">COUNTIF($D$3:$D$112,"="&amp;J4)</f>
        <v>0</v>
      </c>
      <c r="M4" s="217">
        <v>2</v>
      </c>
      <c r="N4" s="258">
        <f>COUNTIF($D$3:$D$112,"="&amp;M4)</f>
        <v>7</v>
      </c>
    </row>
    <row r="5" spans="1:14" ht="15">
      <c r="A5" s="90">
        <v>104</v>
      </c>
      <c r="B5" s="235" t="s">
        <v>124</v>
      </c>
      <c r="C5" s="278">
        <v>5</v>
      </c>
      <c r="D5" s="278">
        <v>3</v>
      </c>
      <c r="E5" s="278"/>
      <c r="F5" s="278"/>
      <c r="J5" s="217">
        <v>2</v>
      </c>
      <c r="K5" s="258">
        <f t="shared" si="0"/>
        <v>6</v>
      </c>
      <c r="L5" s="258">
        <f t="shared" si="1"/>
        <v>7</v>
      </c>
      <c r="M5" s="217">
        <v>3</v>
      </c>
      <c r="N5" s="258">
        <f>COUNTIF($D$3:$D$112,"="&amp;M5)</f>
        <v>3</v>
      </c>
    </row>
    <row r="6" spans="1:12" ht="15">
      <c r="A6" s="90">
        <v>109</v>
      </c>
      <c r="B6" s="235" t="s">
        <v>125</v>
      </c>
      <c r="C6" s="278">
        <v>3</v>
      </c>
      <c r="D6" s="278">
        <v>1</v>
      </c>
      <c r="E6" s="278"/>
      <c r="F6" s="278"/>
      <c r="J6" s="334" t="s">
        <v>271</v>
      </c>
      <c r="K6" s="258">
        <f t="shared" si="0"/>
        <v>5</v>
      </c>
      <c r="L6" s="258">
        <f t="shared" si="1"/>
        <v>0</v>
      </c>
    </row>
    <row r="7" spans="1:12" ht="15">
      <c r="A7" s="333"/>
      <c r="B7" s="335" t="s">
        <v>272</v>
      </c>
      <c r="C7" s="278">
        <v>5</v>
      </c>
      <c r="D7" s="278">
        <v>3</v>
      </c>
      <c r="E7" s="278"/>
      <c r="F7" s="278"/>
      <c r="J7" s="217">
        <v>3</v>
      </c>
      <c r="K7" s="258">
        <f t="shared" si="0"/>
        <v>11</v>
      </c>
      <c r="L7" s="258">
        <f>COUNTIF($D$3:$D$112,"="&amp;J7)-1</f>
        <v>2</v>
      </c>
    </row>
    <row r="8" spans="1:12" ht="15">
      <c r="A8" s="90">
        <v>118</v>
      </c>
      <c r="B8" s="243" t="s">
        <v>126</v>
      </c>
      <c r="C8" s="278">
        <v>1</v>
      </c>
      <c r="D8" s="278">
        <v>1</v>
      </c>
      <c r="E8" s="278"/>
      <c r="F8" s="278"/>
      <c r="J8" s="334" t="s">
        <v>258</v>
      </c>
      <c r="K8" s="258">
        <f t="shared" si="0"/>
        <v>6</v>
      </c>
      <c r="L8" s="258">
        <f t="shared" si="1"/>
        <v>0</v>
      </c>
    </row>
    <row r="9" spans="1:12" ht="15">
      <c r="A9" s="90">
        <v>121</v>
      </c>
      <c r="B9" s="243" t="s">
        <v>127</v>
      </c>
      <c r="C9" s="278">
        <v>1</v>
      </c>
      <c r="D9" s="278">
        <v>1</v>
      </c>
      <c r="E9" s="278"/>
      <c r="F9" s="278"/>
      <c r="J9" s="217">
        <v>4</v>
      </c>
      <c r="K9" s="258">
        <f t="shared" si="0"/>
        <v>15</v>
      </c>
      <c r="L9" s="258">
        <f t="shared" si="1"/>
        <v>0</v>
      </c>
    </row>
    <row r="10" spans="1:12" ht="15">
      <c r="A10" s="90">
        <v>122</v>
      </c>
      <c r="B10" s="243" t="s">
        <v>128</v>
      </c>
      <c r="C10" s="278">
        <v>3</v>
      </c>
      <c r="D10" s="278">
        <v>1</v>
      </c>
      <c r="E10" s="278"/>
      <c r="F10" s="278"/>
      <c r="J10" s="334" t="s">
        <v>259</v>
      </c>
      <c r="K10" s="258">
        <f t="shared" si="0"/>
        <v>7</v>
      </c>
      <c r="L10" s="258">
        <f t="shared" si="1"/>
        <v>0</v>
      </c>
    </row>
    <row r="11" spans="1:12" ht="15">
      <c r="A11" s="90">
        <v>167</v>
      </c>
      <c r="B11" s="243" t="s">
        <v>129</v>
      </c>
      <c r="C11" s="278">
        <v>3</v>
      </c>
      <c r="D11" s="278">
        <v>1</v>
      </c>
      <c r="E11" s="278"/>
      <c r="F11" s="278"/>
      <c r="J11" s="217">
        <v>5</v>
      </c>
      <c r="K11" s="258">
        <f>COUNTIF($C$3:$C$112,"="&amp;J11)-11</f>
        <v>33</v>
      </c>
      <c r="L11" s="258">
        <f t="shared" si="1"/>
        <v>0</v>
      </c>
    </row>
    <row r="12" spans="1:12" ht="15">
      <c r="A12" s="90">
        <v>176</v>
      </c>
      <c r="B12" s="243" t="s">
        <v>130</v>
      </c>
      <c r="C12" s="278">
        <v>2</v>
      </c>
      <c r="D12" s="278">
        <v>1</v>
      </c>
      <c r="E12" s="278"/>
      <c r="F12" s="278"/>
      <c r="J12" s="334" t="s">
        <v>261</v>
      </c>
      <c r="K12" s="258">
        <f t="shared" si="0"/>
        <v>0</v>
      </c>
      <c r="L12" s="258">
        <f t="shared" si="1"/>
        <v>0</v>
      </c>
    </row>
    <row r="13" spans="1:6" ht="15">
      <c r="A13" s="90">
        <v>323</v>
      </c>
      <c r="B13" s="243" t="s">
        <v>131</v>
      </c>
      <c r="C13" s="278">
        <v>2</v>
      </c>
      <c r="D13" s="278">
        <v>2</v>
      </c>
      <c r="E13" s="278"/>
      <c r="F13" s="278"/>
    </row>
    <row r="14" spans="1:6" ht="15">
      <c r="A14" s="90">
        <v>333</v>
      </c>
      <c r="B14" s="243" t="s">
        <v>132</v>
      </c>
      <c r="C14" s="278">
        <v>3</v>
      </c>
      <c r="D14" s="278">
        <v>1</v>
      </c>
      <c r="E14" s="278"/>
      <c r="F14" s="278"/>
    </row>
    <row r="15" spans="1:6" ht="15">
      <c r="A15" s="90">
        <v>396</v>
      </c>
      <c r="B15" s="243" t="s">
        <v>133</v>
      </c>
      <c r="C15" s="278">
        <v>1</v>
      </c>
      <c r="D15" s="278">
        <v>1</v>
      </c>
      <c r="E15" s="278"/>
      <c r="F15" s="278"/>
    </row>
    <row r="16" spans="1:6" ht="15">
      <c r="A16" s="90">
        <v>476</v>
      </c>
      <c r="B16" s="243" t="s">
        <v>134</v>
      </c>
      <c r="C16" s="278">
        <v>1</v>
      </c>
      <c r="D16" s="278">
        <v>1</v>
      </c>
      <c r="E16" s="278"/>
      <c r="F16" s="278"/>
    </row>
    <row r="17" spans="1:6" ht="15">
      <c r="A17" s="333"/>
      <c r="B17" s="335" t="s">
        <v>272</v>
      </c>
      <c r="C17" s="278">
        <v>5</v>
      </c>
      <c r="D17" s="278">
        <v>1</v>
      </c>
      <c r="E17" s="278"/>
      <c r="F17" s="278"/>
    </row>
    <row r="18" spans="1:6" ht="15">
      <c r="A18" s="90">
        <v>477</v>
      </c>
      <c r="B18" s="243" t="s">
        <v>135</v>
      </c>
      <c r="C18" s="336" t="s">
        <v>187</v>
      </c>
      <c r="D18" s="336" t="s">
        <v>187</v>
      </c>
      <c r="E18" s="278"/>
      <c r="F18" s="278"/>
    </row>
    <row r="19" spans="1:6" ht="15">
      <c r="A19" s="90">
        <v>481</v>
      </c>
      <c r="B19" s="243" t="s">
        <v>136</v>
      </c>
      <c r="C19" s="278">
        <v>5</v>
      </c>
      <c r="D19" s="278">
        <v>2</v>
      </c>
      <c r="E19" s="278"/>
      <c r="F19" s="278"/>
    </row>
    <row r="20" spans="1:6" ht="15">
      <c r="A20" s="90">
        <v>500</v>
      </c>
      <c r="B20" s="243" t="s">
        <v>137</v>
      </c>
      <c r="C20" s="278">
        <v>3</v>
      </c>
      <c r="D20" s="278">
        <v>1</v>
      </c>
      <c r="E20" s="278"/>
      <c r="F20" s="278"/>
    </row>
    <row r="21" spans="1:6" ht="15">
      <c r="A21" s="90">
        <v>501</v>
      </c>
      <c r="B21" s="243" t="s">
        <v>138</v>
      </c>
      <c r="C21" s="278">
        <v>5</v>
      </c>
      <c r="D21" s="278">
        <v>1</v>
      </c>
      <c r="E21" s="278"/>
      <c r="F21" s="278"/>
    </row>
    <row r="22" spans="1:6" ht="15">
      <c r="A22" s="90">
        <v>502</v>
      </c>
      <c r="B22" s="243" t="s">
        <v>139</v>
      </c>
      <c r="C22" s="278">
        <v>4</v>
      </c>
      <c r="D22" s="278">
        <v>1</v>
      </c>
      <c r="E22" s="278"/>
      <c r="F22" s="278"/>
    </row>
    <row r="23" spans="1:6" ht="15">
      <c r="A23" s="90">
        <v>512</v>
      </c>
      <c r="B23" s="244" t="s">
        <v>140</v>
      </c>
      <c r="C23" s="278">
        <v>5</v>
      </c>
      <c r="D23" s="278">
        <v>1</v>
      </c>
      <c r="E23" s="278"/>
      <c r="F23" s="278"/>
    </row>
    <row r="24" spans="1:6" ht="15">
      <c r="A24" s="90">
        <v>518</v>
      </c>
      <c r="B24" s="244" t="s">
        <v>141</v>
      </c>
      <c r="C24" s="278">
        <v>5</v>
      </c>
      <c r="D24" s="278">
        <v>1</v>
      </c>
      <c r="E24" s="278"/>
      <c r="F24" s="278"/>
    </row>
    <row r="25" spans="1:6" ht="15">
      <c r="A25" s="90">
        <v>519</v>
      </c>
      <c r="B25" s="244" t="s">
        <v>142</v>
      </c>
      <c r="C25" s="278">
        <v>3</v>
      </c>
      <c r="D25" s="278">
        <v>1</v>
      </c>
      <c r="E25" s="278"/>
      <c r="F25" s="278"/>
    </row>
    <row r="26" spans="1:6" ht="15">
      <c r="A26" s="90">
        <v>520</v>
      </c>
      <c r="B26" s="244" t="s">
        <v>143</v>
      </c>
      <c r="C26" s="278">
        <v>5</v>
      </c>
      <c r="D26" s="278">
        <v>2</v>
      </c>
      <c r="E26" s="278"/>
      <c r="F26" s="278"/>
    </row>
    <row r="27" spans="1:6" ht="15">
      <c r="A27" s="90">
        <v>523</v>
      </c>
      <c r="B27" s="244" t="s">
        <v>144</v>
      </c>
      <c r="C27" s="337" t="s">
        <v>258</v>
      </c>
      <c r="D27" s="278">
        <v>1</v>
      </c>
      <c r="E27" s="278"/>
      <c r="F27" s="278"/>
    </row>
    <row r="28" spans="1:6" ht="15">
      <c r="A28" s="333"/>
      <c r="B28" s="335" t="s">
        <v>272</v>
      </c>
      <c r="C28" s="337">
        <v>5</v>
      </c>
      <c r="D28" s="278">
        <v>1</v>
      </c>
      <c r="E28" s="278"/>
      <c r="F28" s="278"/>
    </row>
    <row r="29" spans="1:6" ht="15">
      <c r="A29" s="90">
        <v>524</v>
      </c>
      <c r="B29" s="244" t="s">
        <v>145</v>
      </c>
      <c r="C29" s="337" t="s">
        <v>265</v>
      </c>
      <c r="D29" s="278">
        <v>1</v>
      </c>
      <c r="E29" s="278"/>
      <c r="F29" s="278"/>
    </row>
    <row r="30" spans="1:6" ht="15">
      <c r="A30" s="90">
        <v>527</v>
      </c>
      <c r="B30" s="244" t="s">
        <v>146</v>
      </c>
      <c r="C30" s="337">
        <v>3</v>
      </c>
      <c r="D30" s="278">
        <v>1</v>
      </c>
      <c r="E30" s="278"/>
      <c r="F30" s="278"/>
    </row>
    <row r="31" spans="1:6" ht="15">
      <c r="A31" s="90">
        <v>534</v>
      </c>
      <c r="B31" s="244" t="s">
        <v>147</v>
      </c>
      <c r="C31" s="278">
        <v>5</v>
      </c>
      <c r="D31" s="278">
        <v>1</v>
      </c>
      <c r="E31" s="278"/>
      <c r="F31" s="278"/>
    </row>
    <row r="32" spans="1:6" ht="15">
      <c r="A32" s="90">
        <v>539</v>
      </c>
      <c r="B32" s="244" t="s">
        <v>148</v>
      </c>
      <c r="C32" s="278">
        <v>5</v>
      </c>
      <c r="D32" s="278">
        <v>1</v>
      </c>
      <c r="E32" s="278"/>
      <c r="F32" s="278"/>
    </row>
    <row r="33" spans="1:6" ht="15">
      <c r="A33" s="90">
        <v>540</v>
      </c>
      <c r="B33" s="235" t="s">
        <v>149</v>
      </c>
      <c r="C33" s="337">
        <v>4</v>
      </c>
      <c r="D33" s="278">
        <v>1</v>
      </c>
      <c r="E33" s="278"/>
      <c r="F33" s="278"/>
    </row>
    <row r="34" spans="1:6" ht="15">
      <c r="A34" s="90">
        <v>547</v>
      </c>
      <c r="B34" s="243" t="s">
        <v>150</v>
      </c>
      <c r="C34" s="336" t="s">
        <v>187</v>
      </c>
      <c r="D34" s="336" t="s">
        <v>187</v>
      </c>
      <c r="E34" s="278"/>
      <c r="F34" s="278"/>
    </row>
    <row r="35" spans="1:6" ht="15">
      <c r="A35" s="90">
        <v>553</v>
      </c>
      <c r="B35" s="243" t="s">
        <v>151</v>
      </c>
      <c r="C35" s="337" t="s">
        <v>259</v>
      </c>
      <c r="D35" s="278">
        <v>3</v>
      </c>
      <c r="E35" s="278"/>
      <c r="F35" s="278"/>
    </row>
    <row r="36" spans="1:6" ht="15">
      <c r="A36" s="90">
        <v>597</v>
      </c>
      <c r="B36" s="243" t="s">
        <v>152</v>
      </c>
      <c r="C36" s="337">
        <v>4</v>
      </c>
      <c r="D36" s="278">
        <v>1</v>
      </c>
      <c r="E36" s="278"/>
      <c r="F36" s="278"/>
    </row>
    <row r="37" spans="1:6" ht="15">
      <c r="A37" s="90">
        <v>635</v>
      </c>
      <c r="B37" s="243" t="s">
        <v>153</v>
      </c>
      <c r="C37" s="337" t="s">
        <v>265</v>
      </c>
      <c r="D37" s="278">
        <v>1</v>
      </c>
      <c r="E37" s="278"/>
      <c r="F37" s="278"/>
    </row>
    <row r="38" spans="1:6" ht="15">
      <c r="A38" s="90">
        <v>667</v>
      </c>
      <c r="B38" s="243" t="s">
        <v>154</v>
      </c>
      <c r="C38" s="337" t="s">
        <v>259</v>
      </c>
      <c r="D38" s="278">
        <v>1</v>
      </c>
      <c r="E38" s="278"/>
      <c r="F38" s="278"/>
    </row>
    <row r="39" spans="1:6" ht="15">
      <c r="A39" s="333"/>
      <c r="B39" s="335" t="s">
        <v>272</v>
      </c>
      <c r="C39" s="337">
        <v>5</v>
      </c>
      <c r="D39" s="278">
        <v>1</v>
      </c>
      <c r="E39" s="278"/>
      <c r="F39" s="278"/>
    </row>
    <row r="40" spans="1:6" ht="15">
      <c r="A40" s="90">
        <v>669</v>
      </c>
      <c r="B40" s="243" t="s">
        <v>155</v>
      </c>
      <c r="C40" s="337" t="s">
        <v>265</v>
      </c>
      <c r="D40" s="278">
        <v>1</v>
      </c>
      <c r="E40" s="278"/>
      <c r="F40" s="278"/>
    </row>
    <row r="41" spans="1:6" ht="15">
      <c r="A41" s="90">
        <v>670</v>
      </c>
      <c r="B41" s="243" t="s">
        <v>156</v>
      </c>
      <c r="C41" s="337" t="s">
        <v>258</v>
      </c>
      <c r="D41" s="278">
        <v>1</v>
      </c>
      <c r="E41" s="278"/>
      <c r="F41" s="278"/>
    </row>
    <row r="42" spans="1:6" ht="15">
      <c r="A42" s="90">
        <v>674</v>
      </c>
      <c r="B42" s="243" t="s">
        <v>157</v>
      </c>
      <c r="C42" s="337">
        <v>2</v>
      </c>
      <c r="D42" s="278">
        <v>1</v>
      </c>
      <c r="E42" s="278"/>
      <c r="F42" s="278"/>
    </row>
    <row r="43" spans="1:6" ht="15">
      <c r="A43" s="90">
        <v>696</v>
      </c>
      <c r="B43" s="243" t="s">
        <v>158</v>
      </c>
      <c r="C43" s="337" t="s">
        <v>265</v>
      </c>
      <c r="D43" s="278">
        <v>1</v>
      </c>
      <c r="E43" s="278"/>
      <c r="F43" s="278"/>
    </row>
    <row r="44" spans="1:6" ht="15">
      <c r="A44" s="90">
        <v>826</v>
      </c>
      <c r="B44" s="243" t="s">
        <v>159</v>
      </c>
      <c r="C44" s="337">
        <v>5</v>
      </c>
      <c r="D44" s="278">
        <v>1</v>
      </c>
      <c r="E44" s="278"/>
      <c r="F44" s="278"/>
    </row>
    <row r="45" spans="1:6" ht="15">
      <c r="A45" s="90">
        <v>1262</v>
      </c>
      <c r="B45" s="244" t="s">
        <v>160</v>
      </c>
      <c r="C45" s="278">
        <v>5</v>
      </c>
      <c r="D45" s="278">
        <v>1</v>
      </c>
      <c r="E45" s="278"/>
      <c r="F45" s="278"/>
    </row>
    <row r="46" spans="1:6" ht="15">
      <c r="A46" s="90">
        <v>1306</v>
      </c>
      <c r="B46" s="244" t="s">
        <v>161</v>
      </c>
      <c r="C46" s="336" t="s">
        <v>187</v>
      </c>
      <c r="D46" s="336" t="s">
        <v>187</v>
      </c>
      <c r="E46" s="278"/>
      <c r="F46" s="278"/>
    </row>
    <row r="47" spans="1:6" ht="15">
      <c r="A47" s="90">
        <v>74</v>
      </c>
      <c r="B47" s="244" t="s">
        <v>162</v>
      </c>
      <c r="C47" s="278">
        <v>5</v>
      </c>
      <c r="D47" s="278">
        <v>1</v>
      </c>
      <c r="E47" s="278"/>
      <c r="F47" s="278"/>
    </row>
    <row r="48" spans="1:6" ht="15">
      <c r="A48" s="90">
        <v>1395</v>
      </c>
      <c r="B48" s="244" t="s">
        <v>163</v>
      </c>
      <c r="C48" s="278">
        <v>4</v>
      </c>
      <c r="D48" s="278">
        <v>1</v>
      </c>
      <c r="E48" s="278"/>
      <c r="F48" s="278"/>
    </row>
    <row r="49" spans="1:6" ht="15">
      <c r="A49" s="90">
        <v>1473</v>
      </c>
      <c r="B49" s="244" t="s">
        <v>164</v>
      </c>
      <c r="C49" s="278">
        <v>5</v>
      </c>
      <c r="D49" s="278">
        <v>2</v>
      </c>
      <c r="E49" s="278"/>
      <c r="F49" s="278"/>
    </row>
    <row r="50" spans="1:6" ht="15">
      <c r="A50" s="333"/>
      <c r="B50" s="335" t="s">
        <v>272</v>
      </c>
      <c r="C50" s="278">
        <v>5</v>
      </c>
      <c r="D50" s="278">
        <v>1</v>
      </c>
      <c r="E50" s="278"/>
      <c r="F50" s="278"/>
    </row>
    <row r="51" spans="1:6" ht="15">
      <c r="A51" s="90">
        <v>1488</v>
      </c>
      <c r="B51" s="244" t="s">
        <v>165</v>
      </c>
      <c r="C51" s="337" t="s">
        <v>259</v>
      </c>
      <c r="D51" s="278">
        <v>1</v>
      </c>
      <c r="E51" s="278"/>
      <c r="F51" s="278"/>
    </row>
    <row r="52" spans="1:6" ht="15">
      <c r="A52" s="90">
        <v>1489</v>
      </c>
      <c r="B52" s="244" t="s">
        <v>166</v>
      </c>
      <c r="C52" s="278">
        <v>5</v>
      </c>
      <c r="D52" s="278">
        <v>1</v>
      </c>
      <c r="E52" s="278"/>
      <c r="F52" s="278"/>
    </row>
    <row r="53" spans="1:6" ht="15">
      <c r="A53" s="90">
        <v>1506</v>
      </c>
      <c r="B53" s="244" t="s">
        <v>167</v>
      </c>
      <c r="C53" s="336" t="s">
        <v>187</v>
      </c>
      <c r="D53" s="336" t="s">
        <v>187</v>
      </c>
      <c r="E53" s="278"/>
      <c r="F53" s="278"/>
    </row>
    <row r="54" spans="1:6" ht="15">
      <c r="A54" s="90">
        <v>1508</v>
      </c>
      <c r="B54" s="244" t="s">
        <v>168</v>
      </c>
      <c r="C54" s="337" t="s">
        <v>271</v>
      </c>
      <c r="D54" s="278">
        <v>1</v>
      </c>
      <c r="E54" s="278"/>
      <c r="F54" s="278"/>
    </row>
    <row r="55" spans="1:6" ht="15">
      <c r="A55" s="90">
        <v>1511</v>
      </c>
      <c r="B55" s="244" t="s">
        <v>169</v>
      </c>
      <c r="C55" s="278">
        <v>4</v>
      </c>
      <c r="D55" s="278">
        <v>1</v>
      </c>
      <c r="E55" s="278"/>
      <c r="F55" s="278"/>
    </row>
    <row r="56" spans="1:6" ht="15">
      <c r="A56" s="90">
        <v>1514</v>
      </c>
      <c r="B56" s="246" t="s">
        <v>170</v>
      </c>
      <c r="C56" s="337" t="s">
        <v>259</v>
      </c>
      <c r="D56" s="278">
        <v>1</v>
      </c>
      <c r="E56" s="278"/>
      <c r="F56" s="278"/>
    </row>
    <row r="57" spans="1:6" ht="15">
      <c r="A57" s="90">
        <v>1516</v>
      </c>
      <c r="B57" s="244" t="s">
        <v>171</v>
      </c>
      <c r="C57" s="278">
        <v>5</v>
      </c>
      <c r="D57" s="278">
        <v>1</v>
      </c>
      <c r="E57" s="278"/>
      <c r="F57" s="278"/>
    </row>
    <row r="58" spans="1:6" ht="15">
      <c r="A58" s="90">
        <v>1530</v>
      </c>
      <c r="B58" s="244" t="s">
        <v>172</v>
      </c>
      <c r="C58" s="337" t="s">
        <v>258</v>
      </c>
      <c r="D58" s="278">
        <v>1</v>
      </c>
      <c r="E58" s="278"/>
      <c r="F58" s="278"/>
    </row>
    <row r="59" spans="1:6" ht="15">
      <c r="A59" s="194">
        <v>1634</v>
      </c>
      <c r="B59" s="244" t="s">
        <v>173</v>
      </c>
      <c r="C59" s="278">
        <v>4</v>
      </c>
      <c r="D59" s="278">
        <v>1</v>
      </c>
      <c r="E59" s="278"/>
      <c r="F59" s="278"/>
    </row>
    <row r="60" spans="1:6" ht="15">
      <c r="A60" s="194">
        <v>1635</v>
      </c>
      <c r="B60" s="244" t="s">
        <v>174</v>
      </c>
      <c r="C60" s="278">
        <v>5</v>
      </c>
      <c r="D60" s="278">
        <v>1</v>
      </c>
      <c r="E60" s="278"/>
      <c r="F60" s="278"/>
    </row>
    <row r="61" spans="1:6" ht="15">
      <c r="A61" s="333"/>
      <c r="B61" s="335" t="s">
        <v>272</v>
      </c>
      <c r="C61" s="278">
        <v>5</v>
      </c>
      <c r="D61" s="278">
        <v>1</v>
      </c>
      <c r="E61" s="278"/>
      <c r="F61" s="278"/>
    </row>
    <row r="62" spans="1:6" ht="15">
      <c r="A62" s="194">
        <v>1636</v>
      </c>
      <c r="B62" s="244" t="s">
        <v>175</v>
      </c>
      <c r="C62" s="278">
        <v>2</v>
      </c>
      <c r="D62" s="278">
        <v>1</v>
      </c>
      <c r="E62" s="278"/>
      <c r="F62" s="278"/>
    </row>
    <row r="63" spans="1:6" ht="15">
      <c r="A63" s="194">
        <v>1638</v>
      </c>
      <c r="B63" s="244" t="s">
        <v>176</v>
      </c>
      <c r="C63" s="278">
        <v>3</v>
      </c>
      <c r="D63" s="278">
        <v>1</v>
      </c>
      <c r="E63" s="278"/>
      <c r="F63" s="278"/>
    </row>
    <row r="64" spans="1:6" ht="15">
      <c r="A64" s="194">
        <v>1639</v>
      </c>
      <c r="B64" s="244" t="s">
        <v>177</v>
      </c>
      <c r="C64" s="278">
        <v>5</v>
      </c>
      <c r="D64" s="278">
        <v>1</v>
      </c>
      <c r="E64" s="278"/>
      <c r="F64" s="278"/>
    </row>
    <row r="65" spans="1:6" ht="15">
      <c r="A65" s="194">
        <v>1640</v>
      </c>
      <c r="B65" s="244" t="s">
        <v>178</v>
      </c>
      <c r="C65" s="278">
        <v>4</v>
      </c>
      <c r="D65" s="278">
        <v>1</v>
      </c>
      <c r="E65" s="278"/>
      <c r="F65" s="278"/>
    </row>
    <row r="66" spans="1:6" ht="15">
      <c r="A66" s="194">
        <v>1642</v>
      </c>
      <c r="B66" s="244" t="s">
        <v>179</v>
      </c>
      <c r="C66" s="337" t="s">
        <v>265</v>
      </c>
      <c r="D66" s="278">
        <v>1</v>
      </c>
      <c r="E66" s="278"/>
      <c r="F66" s="278"/>
    </row>
    <row r="67" spans="1:6" ht="15">
      <c r="A67" s="194">
        <v>1643</v>
      </c>
      <c r="B67" s="246" t="s">
        <v>180</v>
      </c>
      <c r="C67" s="337" t="s">
        <v>271</v>
      </c>
      <c r="D67" s="278">
        <v>1</v>
      </c>
      <c r="E67" s="278"/>
      <c r="F67" s="278"/>
    </row>
    <row r="68" spans="1:6" ht="15">
      <c r="A68" s="194">
        <v>1644</v>
      </c>
      <c r="B68" s="244" t="s">
        <v>181</v>
      </c>
      <c r="C68" s="278">
        <v>5</v>
      </c>
      <c r="D68" s="278">
        <v>1</v>
      </c>
      <c r="E68" s="278"/>
      <c r="F68" s="278"/>
    </row>
    <row r="69" spans="1:6" ht="15">
      <c r="A69" s="194">
        <v>1645</v>
      </c>
      <c r="B69" s="244" t="s">
        <v>182</v>
      </c>
      <c r="C69" s="278">
        <v>5</v>
      </c>
      <c r="D69" s="278">
        <v>1</v>
      </c>
      <c r="E69" s="278"/>
      <c r="F69" s="278"/>
    </row>
    <row r="70" spans="1:6" ht="15">
      <c r="A70" s="194">
        <v>1646</v>
      </c>
      <c r="B70" s="244" t="s">
        <v>183</v>
      </c>
      <c r="C70" s="278">
        <v>5</v>
      </c>
      <c r="D70" s="278">
        <v>1</v>
      </c>
      <c r="E70" s="278"/>
      <c r="F70" s="278"/>
    </row>
    <row r="71" spans="1:6" ht="15">
      <c r="A71" s="333"/>
      <c r="B71" s="335" t="s">
        <v>272</v>
      </c>
      <c r="C71" s="278">
        <v>5</v>
      </c>
      <c r="D71" s="278">
        <v>1</v>
      </c>
      <c r="E71" s="278"/>
      <c r="F71" s="278"/>
    </row>
    <row r="72" spans="1:6" ht="15">
      <c r="A72" s="194">
        <v>1647</v>
      </c>
      <c r="B72" s="244" t="s">
        <v>184</v>
      </c>
      <c r="C72" s="278">
        <v>5</v>
      </c>
      <c r="D72" s="278">
        <v>1</v>
      </c>
      <c r="E72" s="278"/>
      <c r="F72" s="278"/>
    </row>
    <row r="73" spans="1:6" ht="15">
      <c r="A73" s="194">
        <v>1648</v>
      </c>
      <c r="B73" s="244" t="s">
        <v>185</v>
      </c>
      <c r="C73" s="278">
        <v>5</v>
      </c>
      <c r="D73" s="278">
        <v>1</v>
      </c>
      <c r="E73" s="278"/>
      <c r="F73" s="278"/>
    </row>
    <row r="74" spans="1:6" ht="15">
      <c r="A74" s="194">
        <v>1649</v>
      </c>
      <c r="B74" s="244" t="s">
        <v>186</v>
      </c>
      <c r="C74" s="337" t="s">
        <v>259</v>
      </c>
      <c r="D74" s="278">
        <v>1</v>
      </c>
      <c r="E74" s="278"/>
      <c r="F74" s="278"/>
    </row>
    <row r="75" spans="1:6" ht="15">
      <c r="A75" s="194">
        <v>1650</v>
      </c>
      <c r="B75" s="244" t="s">
        <v>188</v>
      </c>
      <c r="C75" s="278">
        <v>3</v>
      </c>
      <c r="D75" s="278">
        <v>1</v>
      </c>
      <c r="E75" s="278"/>
      <c r="F75" s="278"/>
    </row>
    <row r="76" spans="1:6" ht="15">
      <c r="A76" s="194">
        <v>1651</v>
      </c>
      <c r="B76" s="246" t="s">
        <v>189</v>
      </c>
      <c r="C76" s="278">
        <v>4</v>
      </c>
      <c r="D76" s="278">
        <v>1</v>
      </c>
      <c r="E76" s="278"/>
      <c r="F76" s="278"/>
    </row>
    <row r="77" spans="1:6" ht="15">
      <c r="A77" s="194">
        <v>1652</v>
      </c>
      <c r="B77" s="246" t="s">
        <v>190</v>
      </c>
      <c r="C77" s="278">
        <v>3</v>
      </c>
      <c r="D77" s="278">
        <v>1</v>
      </c>
      <c r="E77" s="278"/>
      <c r="F77" s="278"/>
    </row>
    <row r="78" spans="1:6" ht="15">
      <c r="A78" s="194">
        <v>1653</v>
      </c>
      <c r="B78" s="244" t="s">
        <v>191</v>
      </c>
      <c r="C78" s="278">
        <v>5</v>
      </c>
      <c r="D78" s="278">
        <v>1</v>
      </c>
      <c r="E78" s="278"/>
      <c r="F78" s="278"/>
    </row>
    <row r="79" spans="1:6" ht="15">
      <c r="A79" s="194">
        <v>1654</v>
      </c>
      <c r="B79" s="244" t="s">
        <v>192</v>
      </c>
      <c r="C79" s="337" t="s">
        <v>265</v>
      </c>
      <c r="D79" s="278">
        <v>1</v>
      </c>
      <c r="E79" s="278"/>
      <c r="F79" s="278"/>
    </row>
    <row r="80" spans="1:6" ht="15">
      <c r="A80" s="194">
        <v>1655</v>
      </c>
      <c r="B80" s="244" t="s">
        <v>193</v>
      </c>
      <c r="C80" s="278">
        <v>5</v>
      </c>
      <c r="D80" s="278">
        <v>1</v>
      </c>
      <c r="E80" s="278"/>
      <c r="F80" s="278"/>
    </row>
    <row r="81" spans="1:6" ht="15">
      <c r="A81" s="333"/>
      <c r="B81" s="335" t="s">
        <v>272</v>
      </c>
      <c r="C81" s="278">
        <v>5</v>
      </c>
      <c r="D81" s="278">
        <v>1</v>
      </c>
      <c r="E81" s="278"/>
      <c r="F81" s="278"/>
    </row>
    <row r="82" spans="1:6" ht="15">
      <c r="A82" s="194">
        <v>1656</v>
      </c>
      <c r="B82" s="244" t="s">
        <v>194</v>
      </c>
      <c r="C82" s="337" t="s">
        <v>259</v>
      </c>
      <c r="D82" s="278">
        <v>1</v>
      </c>
      <c r="E82" s="278"/>
      <c r="F82" s="278"/>
    </row>
    <row r="83" spans="1:6" ht="15">
      <c r="A83" s="196">
        <v>675</v>
      </c>
      <c r="B83" s="244" t="s">
        <v>195</v>
      </c>
      <c r="C83" s="278">
        <v>5</v>
      </c>
      <c r="D83" s="278">
        <v>2</v>
      </c>
      <c r="E83" s="278"/>
      <c r="F83" s="278"/>
    </row>
    <row r="84" spans="1:6" ht="15">
      <c r="A84" s="194">
        <v>1658</v>
      </c>
      <c r="B84" s="244" t="s">
        <v>196</v>
      </c>
      <c r="C84" s="278">
        <v>4</v>
      </c>
      <c r="D84" s="278">
        <v>1</v>
      </c>
      <c r="E84" s="278"/>
      <c r="F84" s="278"/>
    </row>
    <row r="85" spans="1:6" ht="15">
      <c r="A85" s="194">
        <v>1659</v>
      </c>
      <c r="B85" s="244" t="s">
        <v>197</v>
      </c>
      <c r="C85" s="278">
        <v>4</v>
      </c>
      <c r="D85" s="278">
        <v>1</v>
      </c>
      <c r="E85" s="278"/>
      <c r="F85" s="278"/>
    </row>
    <row r="86" spans="1:6" ht="15">
      <c r="A86" s="194">
        <v>1660</v>
      </c>
      <c r="B86" s="244" t="s">
        <v>198</v>
      </c>
      <c r="C86" s="278">
        <v>5</v>
      </c>
      <c r="D86" s="278">
        <v>1</v>
      </c>
      <c r="E86" s="278"/>
      <c r="F86" s="278"/>
    </row>
    <row r="87" spans="1:6" ht="15">
      <c r="A87" s="194">
        <v>1661</v>
      </c>
      <c r="B87" s="244" t="s">
        <v>199</v>
      </c>
      <c r="C87" s="278">
        <v>5</v>
      </c>
      <c r="D87" s="278">
        <v>1</v>
      </c>
      <c r="E87" s="278"/>
      <c r="F87" s="278"/>
    </row>
    <row r="88" spans="1:6" ht="15">
      <c r="A88" s="194">
        <v>1662</v>
      </c>
      <c r="B88" s="244" t="s">
        <v>200</v>
      </c>
      <c r="C88" s="278">
        <v>4</v>
      </c>
      <c r="D88" s="278">
        <v>1</v>
      </c>
      <c r="E88" s="278"/>
      <c r="F88" s="278"/>
    </row>
    <row r="89" spans="1:6" ht="15">
      <c r="A89" s="194">
        <v>1663</v>
      </c>
      <c r="B89" s="244" t="s">
        <v>201</v>
      </c>
      <c r="C89" s="278">
        <v>3</v>
      </c>
      <c r="D89" s="278">
        <v>1</v>
      </c>
      <c r="E89" s="278"/>
      <c r="F89" s="278"/>
    </row>
    <row r="90" spans="1:6" ht="15">
      <c r="A90" s="194">
        <v>1665</v>
      </c>
      <c r="B90" s="244" t="s">
        <v>202</v>
      </c>
      <c r="C90" s="278">
        <v>5</v>
      </c>
      <c r="D90" s="278">
        <v>1</v>
      </c>
      <c r="E90" s="278"/>
      <c r="F90" s="278"/>
    </row>
    <row r="91" spans="1:6" ht="15">
      <c r="A91" s="333"/>
      <c r="B91" s="335" t="s">
        <v>272</v>
      </c>
      <c r="C91" s="278">
        <v>5</v>
      </c>
      <c r="D91" s="278">
        <v>1</v>
      </c>
      <c r="E91" s="278"/>
      <c r="F91" s="278"/>
    </row>
    <row r="92" spans="1:6" ht="15">
      <c r="A92" s="194">
        <v>1666</v>
      </c>
      <c r="B92" s="244" t="s">
        <v>203</v>
      </c>
      <c r="C92" s="337" t="s">
        <v>258</v>
      </c>
      <c r="D92" s="278">
        <v>1</v>
      </c>
      <c r="E92" s="278"/>
      <c r="F92" s="278"/>
    </row>
    <row r="93" spans="1:6" ht="15">
      <c r="A93" s="194">
        <v>1667</v>
      </c>
      <c r="B93" s="244" t="s">
        <v>204</v>
      </c>
      <c r="C93" s="278">
        <v>5</v>
      </c>
      <c r="D93" s="278">
        <v>1</v>
      </c>
      <c r="E93" s="278"/>
      <c r="F93" s="278"/>
    </row>
    <row r="94" spans="1:6" ht="15">
      <c r="A94" s="194">
        <v>1668</v>
      </c>
      <c r="B94" s="244" t="s">
        <v>205</v>
      </c>
      <c r="C94" s="278">
        <v>5</v>
      </c>
      <c r="D94" s="278">
        <v>1</v>
      </c>
      <c r="E94" s="278"/>
      <c r="F94" s="278"/>
    </row>
    <row r="95" spans="1:6" ht="15">
      <c r="A95" s="194">
        <v>1669</v>
      </c>
      <c r="B95" s="244" t="s">
        <v>206</v>
      </c>
      <c r="C95" s="278">
        <v>5</v>
      </c>
      <c r="D95" s="278">
        <v>1</v>
      </c>
      <c r="E95" s="278"/>
      <c r="F95" s="278"/>
    </row>
    <row r="96" spans="1:6" ht="15">
      <c r="A96" s="194">
        <v>1670</v>
      </c>
      <c r="B96" s="244" t="s">
        <v>207</v>
      </c>
      <c r="C96" s="337" t="s">
        <v>258</v>
      </c>
      <c r="D96" s="278">
        <v>1</v>
      </c>
      <c r="E96" s="278"/>
      <c r="F96" s="278"/>
    </row>
    <row r="97" spans="1:6" ht="15">
      <c r="A97" s="194">
        <v>1671</v>
      </c>
      <c r="B97" s="244" t="s">
        <v>208</v>
      </c>
      <c r="C97" s="278">
        <v>5</v>
      </c>
      <c r="D97" s="278">
        <v>1</v>
      </c>
      <c r="E97" s="278"/>
      <c r="F97" s="278"/>
    </row>
    <row r="98" spans="1:6" ht="15">
      <c r="A98" s="194">
        <v>1672</v>
      </c>
      <c r="B98" s="244" t="s">
        <v>209</v>
      </c>
      <c r="C98" s="337" t="s">
        <v>259</v>
      </c>
      <c r="D98" s="278">
        <v>1</v>
      </c>
      <c r="E98" s="278"/>
      <c r="F98" s="278"/>
    </row>
    <row r="99" spans="1:6" ht="15">
      <c r="A99" s="194">
        <v>1673</v>
      </c>
      <c r="B99" s="244" t="s">
        <v>210</v>
      </c>
      <c r="C99" s="278">
        <v>4</v>
      </c>
      <c r="D99" s="278">
        <v>2</v>
      </c>
      <c r="E99" s="278"/>
      <c r="F99" s="278"/>
    </row>
    <row r="100" spans="1:6" ht="15">
      <c r="A100" s="194">
        <v>1674</v>
      </c>
      <c r="B100" s="244" t="s">
        <v>211</v>
      </c>
      <c r="C100" s="278">
        <v>4</v>
      </c>
      <c r="D100" s="278">
        <v>1</v>
      </c>
      <c r="E100" s="278"/>
      <c r="F100" s="278"/>
    </row>
    <row r="101" spans="1:6" ht="15">
      <c r="A101" s="333"/>
      <c r="B101" s="335" t="s">
        <v>272</v>
      </c>
      <c r="C101" s="278">
        <v>5</v>
      </c>
      <c r="D101" s="278">
        <v>1</v>
      </c>
      <c r="E101" s="278"/>
      <c r="F101" s="278"/>
    </row>
    <row r="102" spans="1:6" ht="15">
      <c r="A102" s="194">
        <v>1676</v>
      </c>
      <c r="B102" s="244" t="s">
        <v>212</v>
      </c>
      <c r="C102" s="278">
        <v>5</v>
      </c>
      <c r="D102" s="278">
        <v>1</v>
      </c>
      <c r="E102" s="278"/>
      <c r="F102" s="278"/>
    </row>
    <row r="103" spans="1:6" ht="15">
      <c r="A103" s="194">
        <v>1678</v>
      </c>
      <c r="B103" s="246" t="s">
        <v>213</v>
      </c>
      <c r="C103" s="337" t="s">
        <v>271</v>
      </c>
      <c r="D103" s="278">
        <v>1</v>
      </c>
      <c r="E103" s="278"/>
      <c r="F103" s="278"/>
    </row>
    <row r="104" spans="1:6" ht="15">
      <c r="A104" s="194">
        <v>1679</v>
      </c>
      <c r="B104" s="244" t="s">
        <v>214</v>
      </c>
      <c r="C104" s="278">
        <v>2</v>
      </c>
      <c r="D104" s="278">
        <v>2</v>
      </c>
      <c r="E104" s="278"/>
      <c r="F104" s="278"/>
    </row>
    <row r="105" spans="1:6" ht="15">
      <c r="A105" s="194">
        <v>1680</v>
      </c>
      <c r="B105" s="244" t="s">
        <v>215</v>
      </c>
      <c r="C105" s="337" t="s">
        <v>265</v>
      </c>
      <c r="D105" s="278">
        <v>1</v>
      </c>
      <c r="E105" s="278"/>
      <c r="F105" s="278"/>
    </row>
    <row r="106" spans="1:6" ht="15">
      <c r="A106" s="194">
        <v>1681</v>
      </c>
      <c r="B106" s="244" t="s">
        <v>216</v>
      </c>
      <c r="C106" s="337" t="s">
        <v>271</v>
      </c>
      <c r="D106" s="278">
        <v>1</v>
      </c>
      <c r="E106" s="278"/>
      <c r="F106" s="278"/>
    </row>
    <row r="107" spans="1:6" ht="15">
      <c r="A107" s="194">
        <v>1682</v>
      </c>
      <c r="B107" s="244" t="s">
        <v>217</v>
      </c>
      <c r="C107" s="337" t="s">
        <v>258</v>
      </c>
      <c r="D107" s="278">
        <v>1</v>
      </c>
      <c r="E107" s="278"/>
      <c r="F107" s="278"/>
    </row>
    <row r="108" spans="1:6" ht="15">
      <c r="A108" s="194">
        <v>1684</v>
      </c>
      <c r="B108" s="244" t="s">
        <v>218</v>
      </c>
      <c r="C108" s="337" t="s">
        <v>271</v>
      </c>
      <c r="D108" s="278">
        <v>1</v>
      </c>
      <c r="E108" s="278"/>
      <c r="F108" s="278"/>
    </row>
    <row r="109" spans="1:6" ht="15">
      <c r="A109" s="194">
        <v>1685</v>
      </c>
      <c r="B109" s="244" t="s">
        <v>219</v>
      </c>
      <c r="C109" s="278">
        <v>2</v>
      </c>
      <c r="D109" s="278">
        <v>1</v>
      </c>
      <c r="E109" s="278"/>
      <c r="F109" s="278"/>
    </row>
    <row r="110" spans="1:6" ht="15">
      <c r="A110" s="194">
        <v>1686</v>
      </c>
      <c r="B110" s="244" t="s">
        <v>220</v>
      </c>
      <c r="C110" s="278">
        <v>5</v>
      </c>
      <c r="D110" s="278">
        <v>1</v>
      </c>
      <c r="E110" s="278"/>
      <c r="F110" s="278"/>
    </row>
    <row r="111" spans="1:6" ht="15">
      <c r="A111" s="333"/>
      <c r="B111" s="335" t="s">
        <v>272</v>
      </c>
      <c r="C111" s="278">
        <v>5</v>
      </c>
      <c r="D111" s="278">
        <v>1</v>
      </c>
      <c r="E111" s="278"/>
      <c r="F111" s="278"/>
    </row>
    <row r="112" spans="1:6" ht="15">
      <c r="A112" s="194">
        <v>1687</v>
      </c>
      <c r="B112" s="244" t="s">
        <v>221</v>
      </c>
      <c r="C112" s="337" t="s">
        <v>265</v>
      </c>
      <c r="D112" s="278">
        <v>1</v>
      </c>
      <c r="E112" s="278"/>
      <c r="F112" s="278"/>
    </row>
    <row r="113" spans="1:6" ht="15">
      <c r="A113" s="194">
        <v>1688</v>
      </c>
      <c r="B113" s="244" t="s">
        <v>222</v>
      </c>
      <c r="C113" s="336" t="s">
        <v>187</v>
      </c>
      <c r="D113" s="336" t="s">
        <v>187</v>
      </c>
      <c r="E113" s="278"/>
      <c r="F113" s="278"/>
    </row>
    <row r="114" spans="1:6" ht="15">
      <c r="A114" s="197">
        <v>1689</v>
      </c>
      <c r="B114" s="243" t="s">
        <v>223</v>
      </c>
      <c r="C114" s="336" t="s">
        <v>187</v>
      </c>
      <c r="D114" s="336" t="s">
        <v>187</v>
      </c>
      <c r="E114" s="278"/>
      <c r="F114" s="278"/>
    </row>
    <row r="115" spans="1:6" ht="15">
      <c r="A115" s="197">
        <v>1690</v>
      </c>
      <c r="B115" s="243" t="s">
        <v>224</v>
      </c>
      <c r="C115" s="336" t="s">
        <v>187</v>
      </c>
      <c r="D115" s="336" t="s">
        <v>187</v>
      </c>
      <c r="E115" s="278"/>
      <c r="F115" s="278"/>
    </row>
    <row r="116" spans="1:6" ht="15">
      <c r="A116" s="198">
        <v>1691</v>
      </c>
      <c r="B116" s="243" t="s">
        <v>225</v>
      </c>
      <c r="C116" s="336" t="s">
        <v>187</v>
      </c>
      <c r="D116" s="336" t="s">
        <v>187</v>
      </c>
      <c r="E116" s="278"/>
      <c r="F116" s="278"/>
    </row>
    <row r="117" spans="1:6" ht="15">
      <c r="A117" s="198">
        <v>1692</v>
      </c>
      <c r="B117" s="243" t="s">
        <v>226</v>
      </c>
      <c r="C117" s="336" t="s">
        <v>187</v>
      </c>
      <c r="D117" s="336" t="s">
        <v>187</v>
      </c>
      <c r="E117" s="278"/>
      <c r="F117" s="278"/>
    </row>
    <row r="118" spans="1:6" ht="15">
      <c r="A118" s="198">
        <v>1693</v>
      </c>
      <c r="B118" s="243" t="s">
        <v>227</v>
      </c>
      <c r="C118" s="336" t="s">
        <v>187</v>
      </c>
      <c r="D118" s="336" t="s">
        <v>187</v>
      </c>
      <c r="E118" s="278"/>
      <c r="F118" s="278"/>
    </row>
    <row r="119" spans="1:6" ht="15">
      <c r="A119" s="198">
        <v>1694</v>
      </c>
      <c r="B119" s="243" t="s">
        <v>228</v>
      </c>
      <c r="C119" s="336" t="s">
        <v>187</v>
      </c>
      <c r="D119" s="336" t="s">
        <v>187</v>
      </c>
      <c r="E119" s="278"/>
      <c r="F119" s="278"/>
    </row>
    <row r="120" spans="1:6" ht="15">
      <c r="A120" s="198">
        <v>1695</v>
      </c>
      <c r="B120" s="243" t="s">
        <v>229</v>
      </c>
      <c r="C120" s="336" t="s">
        <v>187</v>
      </c>
      <c r="D120" s="336" t="s">
        <v>187</v>
      </c>
      <c r="E120" s="278"/>
      <c r="F120" s="278"/>
    </row>
    <row r="121" spans="1:6" ht="15">
      <c r="A121" s="198">
        <v>1696</v>
      </c>
      <c r="B121" s="243" t="s">
        <v>230</v>
      </c>
      <c r="C121" s="336" t="s">
        <v>187</v>
      </c>
      <c r="D121" s="336" t="s">
        <v>187</v>
      </c>
      <c r="E121" s="278"/>
      <c r="F121" s="278"/>
    </row>
    <row r="122" spans="1:6" ht="15">
      <c r="A122" s="198">
        <v>1697</v>
      </c>
      <c r="B122" s="243" t="s">
        <v>231</v>
      </c>
      <c r="C122" s="336" t="s">
        <v>187</v>
      </c>
      <c r="D122" s="336" t="s">
        <v>187</v>
      </c>
      <c r="E122" s="278"/>
      <c r="F122" s="278"/>
    </row>
    <row r="123" spans="1:6" ht="15">
      <c r="A123" s="198">
        <v>1698</v>
      </c>
      <c r="B123" s="243" t="s">
        <v>232</v>
      </c>
      <c r="C123" s="336" t="s">
        <v>187</v>
      </c>
      <c r="D123" s="336" t="s">
        <v>187</v>
      </c>
      <c r="E123" s="278"/>
      <c r="F123" s="278"/>
    </row>
    <row r="124" spans="1:6" ht="15">
      <c r="A124" s="197">
        <v>1699</v>
      </c>
      <c r="B124" s="243" t="s">
        <v>233</v>
      </c>
      <c r="C124" s="336" t="s">
        <v>187</v>
      </c>
      <c r="D124" s="336" t="s">
        <v>187</v>
      </c>
      <c r="E124" s="278"/>
      <c r="F124" s="278"/>
    </row>
    <row r="125" spans="1:6" ht="15">
      <c r="A125" s="197">
        <v>1700</v>
      </c>
      <c r="B125" s="243" t="s">
        <v>235</v>
      </c>
      <c r="C125" s="336" t="s">
        <v>187</v>
      </c>
      <c r="D125" s="336" t="s">
        <v>187</v>
      </c>
      <c r="E125" s="278"/>
      <c r="F125" s="278"/>
    </row>
    <row r="126" spans="1:6" ht="15">
      <c r="A126" s="197">
        <v>1701</v>
      </c>
      <c r="B126" s="243" t="s">
        <v>236</v>
      </c>
      <c r="C126" s="336" t="s">
        <v>187</v>
      </c>
      <c r="D126" s="336" t="s">
        <v>187</v>
      </c>
      <c r="E126" s="278"/>
      <c r="F126" s="278"/>
    </row>
    <row r="127" spans="1:6" ht="15">
      <c r="A127" s="197">
        <v>1702</v>
      </c>
      <c r="B127" s="243" t="s">
        <v>237</v>
      </c>
      <c r="C127" s="336" t="s">
        <v>187</v>
      </c>
      <c r="D127" s="336" t="s">
        <v>187</v>
      </c>
      <c r="E127" s="278"/>
      <c r="F127" s="278"/>
    </row>
    <row r="128" spans="1:6" ht="15">
      <c r="A128" s="197">
        <v>1703</v>
      </c>
      <c r="B128" s="243" t="s">
        <v>238</v>
      </c>
      <c r="C128" s="336" t="s">
        <v>187</v>
      </c>
      <c r="D128" s="336" t="s">
        <v>187</v>
      </c>
      <c r="E128" s="278"/>
      <c r="F128" s="278"/>
    </row>
    <row r="129" spans="1:6" ht="15">
      <c r="A129" s="198">
        <v>1704</v>
      </c>
      <c r="B129" s="243" t="s">
        <v>239</v>
      </c>
      <c r="C129" s="336" t="s">
        <v>187</v>
      </c>
      <c r="D129" s="336" t="s">
        <v>187</v>
      </c>
      <c r="E129" s="278"/>
      <c r="F129" s="278"/>
    </row>
    <row r="130" spans="1:6" ht="15">
      <c r="A130" s="198">
        <v>1705</v>
      </c>
      <c r="B130" s="243" t="s">
        <v>240</v>
      </c>
      <c r="C130" s="336" t="s">
        <v>187</v>
      </c>
      <c r="D130" s="336" t="s">
        <v>187</v>
      </c>
      <c r="E130" s="278"/>
      <c r="F130" s="278"/>
    </row>
    <row r="131" spans="1:6" ht="15">
      <c r="A131" s="198">
        <v>1706</v>
      </c>
      <c r="B131" s="243" t="s">
        <v>241</v>
      </c>
      <c r="C131" s="336" t="s">
        <v>187</v>
      </c>
      <c r="D131" s="336" t="s">
        <v>187</v>
      </c>
      <c r="E131" s="278"/>
      <c r="F131" s="278"/>
    </row>
    <row r="132" spans="1:6" ht="15">
      <c r="A132" s="198">
        <v>1707</v>
      </c>
      <c r="B132" s="243" t="s">
        <v>242</v>
      </c>
      <c r="C132" s="336" t="s">
        <v>187</v>
      </c>
      <c r="D132" s="336" t="s">
        <v>187</v>
      </c>
      <c r="E132" s="278"/>
      <c r="F132" s="278"/>
    </row>
    <row r="133" spans="1:6" ht="15.75" thickBot="1">
      <c r="A133" s="198">
        <v>1708</v>
      </c>
      <c r="B133" s="243" t="s">
        <v>243</v>
      </c>
      <c r="C133" s="336" t="s">
        <v>187</v>
      </c>
      <c r="D133" s="336" t="s">
        <v>187</v>
      </c>
      <c r="E133" s="287"/>
      <c r="F133" s="28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2"/>
  <sheetViews>
    <sheetView zoomScale="80" zoomScaleNormal="80" zoomScalePageLayoutView="0" workbookViewId="0" topLeftCell="A1">
      <selection activeCell="R7" sqref="R7"/>
    </sheetView>
  </sheetViews>
  <sheetFormatPr defaultColWidth="10.28125" defaultRowHeight="12.75"/>
  <cols>
    <col min="1" max="1" width="7.140625" style="27" bestFit="1" customWidth="1"/>
    <col min="2" max="2" width="31.28125" style="217" bestFit="1" customWidth="1"/>
    <col min="3" max="3" width="14.421875" style="217" bestFit="1" customWidth="1"/>
    <col min="4" max="4" width="30.140625" style="217" bestFit="1" customWidth="1"/>
    <col min="5" max="8" width="10.00390625" style="217" customWidth="1"/>
    <col min="9" max="9" width="8.00390625" style="217" bestFit="1" customWidth="1"/>
    <col min="10" max="10" width="10.28125" style="217" customWidth="1"/>
    <col min="11" max="11" width="14.421875" style="217" bestFit="1" customWidth="1"/>
    <col min="12" max="12" width="14.421875" style="217" customWidth="1"/>
    <col min="13" max="13" width="30.140625" style="217" bestFit="1" customWidth="1"/>
    <col min="14" max="15" width="30.140625" style="217" customWidth="1"/>
    <col min="16" max="16" width="20.57421875" style="217" bestFit="1" customWidth="1"/>
    <col min="17" max="17" width="20.57421875" style="217" customWidth="1"/>
    <col min="18" max="18" width="8.00390625" style="217" bestFit="1" customWidth="1"/>
    <col min="19" max="16384" width="10.28125" style="217" customWidth="1"/>
  </cols>
  <sheetData>
    <row r="1" ht="15.75">
      <c r="B1" s="214"/>
    </row>
    <row r="2" spans="1:18" ht="16.5" thickBot="1">
      <c r="A2" s="52"/>
      <c r="B2" s="219" t="s">
        <v>112</v>
      </c>
      <c r="C2" s="338" t="s">
        <v>89</v>
      </c>
      <c r="D2" s="317" t="s">
        <v>90</v>
      </c>
      <c r="E2" s="448" t="s">
        <v>91</v>
      </c>
      <c r="F2" s="448"/>
      <c r="G2" s="448"/>
      <c r="H2" s="448"/>
      <c r="I2" s="339" t="s">
        <v>92</v>
      </c>
      <c r="K2" s="452" t="s">
        <v>89</v>
      </c>
      <c r="L2" s="451"/>
      <c r="M2" s="449" t="s">
        <v>90</v>
      </c>
      <c r="N2" s="451"/>
      <c r="O2" s="449" t="s">
        <v>91</v>
      </c>
      <c r="P2" s="451"/>
      <c r="Q2" s="449" t="s">
        <v>92</v>
      </c>
      <c r="R2" s="450"/>
    </row>
    <row r="3" spans="1:18" ht="15">
      <c r="A3" s="90">
        <v>85</v>
      </c>
      <c r="B3" s="223" t="s">
        <v>122</v>
      </c>
      <c r="C3" s="268">
        <v>1</v>
      </c>
      <c r="D3" s="269">
        <v>5</v>
      </c>
      <c r="E3" s="340">
        <v>1.92</v>
      </c>
      <c r="F3" s="341">
        <v>2.96</v>
      </c>
      <c r="G3" s="341">
        <v>3.15</v>
      </c>
      <c r="H3" s="342">
        <v>2.35</v>
      </c>
      <c r="I3" s="340">
        <v>1</v>
      </c>
      <c r="K3" s="217" t="s">
        <v>273</v>
      </c>
      <c r="L3" s="258">
        <f>COUNTIF($C$3:$C$122,"=1")</f>
        <v>85</v>
      </c>
      <c r="M3" s="217" t="s">
        <v>274</v>
      </c>
      <c r="N3" s="258">
        <f>COUNTIF($D$3:$D$122,"=1")</f>
        <v>44</v>
      </c>
      <c r="O3" s="258" t="s">
        <v>275</v>
      </c>
      <c r="P3" s="258">
        <f>COUNTIF('Data matrix'!$AI$4:$AI$123,"Short")</f>
        <v>0</v>
      </c>
      <c r="Q3" s="217" t="s">
        <v>273</v>
      </c>
      <c r="R3" s="258">
        <f>COUNTIF($I$3:$I$122,"=1")</f>
        <v>91</v>
      </c>
    </row>
    <row r="4" spans="1:18" ht="15">
      <c r="A4" s="90">
        <v>97</v>
      </c>
      <c r="B4" s="235" t="s">
        <v>123</v>
      </c>
      <c r="C4" s="277">
        <v>1</v>
      </c>
      <c r="D4" s="278">
        <v>5</v>
      </c>
      <c r="E4" s="343">
        <v>2.28</v>
      </c>
      <c r="F4" s="344">
        <v>2.17</v>
      </c>
      <c r="G4" s="344">
        <v>2.19</v>
      </c>
      <c r="H4" s="345">
        <v>1.99</v>
      </c>
      <c r="I4" s="343">
        <v>1</v>
      </c>
      <c r="K4" s="217" t="s">
        <v>276</v>
      </c>
      <c r="L4" s="258">
        <f>COUNTIF($C$3:$C$122,"=9")</f>
        <v>30</v>
      </c>
      <c r="M4" s="217" t="s">
        <v>277</v>
      </c>
      <c r="N4" s="258">
        <f>COUNTIF($D$3:$D$122,"&gt;1")-COUNTIF($D$3:$D$122,"&gt;=5")</f>
        <v>10</v>
      </c>
      <c r="O4" s="258" t="s">
        <v>278</v>
      </c>
      <c r="P4" s="258">
        <f>COUNTIF('Data matrix'!$AI$4:$AI$123,"Medium")</f>
        <v>42</v>
      </c>
      <c r="Q4" s="217" t="s">
        <v>279</v>
      </c>
      <c r="R4" s="258">
        <f>COUNTIF($I$3:$I$122,"&gt;1")-COUNTIF($I$3:$I$122,"&gt;=3")</f>
        <v>8</v>
      </c>
    </row>
    <row r="5" spans="1:18" ht="15">
      <c r="A5" s="90">
        <v>104</v>
      </c>
      <c r="B5" s="235" t="s">
        <v>124</v>
      </c>
      <c r="C5" s="277">
        <v>1</v>
      </c>
      <c r="D5" s="278">
        <v>5</v>
      </c>
      <c r="E5" s="343">
        <v>2.9</v>
      </c>
      <c r="F5" s="344">
        <v>2.85</v>
      </c>
      <c r="G5" s="344">
        <v>2.48</v>
      </c>
      <c r="H5" s="345">
        <v>3.06</v>
      </c>
      <c r="I5" s="343">
        <v>1</v>
      </c>
      <c r="M5" s="217" t="s">
        <v>280</v>
      </c>
      <c r="N5" s="258">
        <f>COUNTIF($D$3:$D$122,"=5")</f>
        <v>26</v>
      </c>
      <c r="O5" s="258" t="s">
        <v>281</v>
      </c>
      <c r="P5" s="258">
        <f>COUNTIF('Data matrix'!$AI$4:$AI$123,"Long")</f>
        <v>73</v>
      </c>
      <c r="Q5" s="217" t="s">
        <v>282</v>
      </c>
      <c r="R5" s="258">
        <f>COUNTIF($I$3:$I$122,"=3")</f>
        <v>6</v>
      </c>
    </row>
    <row r="6" spans="1:18" ht="15">
      <c r="A6" s="90">
        <v>109</v>
      </c>
      <c r="B6" s="235" t="s">
        <v>125</v>
      </c>
      <c r="C6" s="277">
        <v>1</v>
      </c>
      <c r="D6" s="278">
        <v>5</v>
      </c>
      <c r="E6" s="343">
        <v>2.48</v>
      </c>
      <c r="F6" s="344">
        <v>1.94</v>
      </c>
      <c r="G6" s="344">
        <v>1.54</v>
      </c>
      <c r="H6" s="345">
        <v>2.09</v>
      </c>
      <c r="I6" s="343">
        <v>1</v>
      </c>
      <c r="M6" s="217" t="s">
        <v>283</v>
      </c>
      <c r="N6" s="258">
        <f>COUNTIF($D$3:$D$122,"&gt;5")-COUNTIF($D$3:$D$122,"&gt;=9")</f>
        <v>20</v>
      </c>
      <c r="O6" s="258"/>
      <c r="Q6" s="217" t="s">
        <v>284</v>
      </c>
      <c r="R6" s="258">
        <f>COUNTIF($I$3:$I$122,"&gt;3")-COUNTIF($I$3:$I$122,"&gt;=5")</f>
        <v>7</v>
      </c>
    </row>
    <row r="7" spans="1:18" ht="15">
      <c r="A7" s="90">
        <v>118</v>
      </c>
      <c r="B7" s="243" t="s">
        <v>126</v>
      </c>
      <c r="C7" s="277">
        <v>1</v>
      </c>
      <c r="D7" s="278">
        <v>1</v>
      </c>
      <c r="E7" s="343">
        <v>2.07</v>
      </c>
      <c r="F7" s="344">
        <v>1.79</v>
      </c>
      <c r="G7" s="344">
        <v>2.23</v>
      </c>
      <c r="H7" s="345">
        <v>2.48</v>
      </c>
      <c r="I7" s="343">
        <v>1</v>
      </c>
      <c r="M7" s="217" t="s">
        <v>285</v>
      </c>
      <c r="N7" s="258">
        <f>COUNTIF($D$3:$D$122,"=9")</f>
        <v>20</v>
      </c>
      <c r="O7" s="258"/>
      <c r="Q7" s="217" t="s">
        <v>286</v>
      </c>
      <c r="R7" s="258">
        <f>COUNTIF($I$3:$I$122,"=5")</f>
        <v>1</v>
      </c>
    </row>
    <row r="8" spans="1:18" ht="15">
      <c r="A8" s="90">
        <v>121</v>
      </c>
      <c r="B8" s="243" t="s">
        <v>127</v>
      </c>
      <c r="C8" s="277">
        <v>1</v>
      </c>
      <c r="D8" s="278">
        <v>1</v>
      </c>
      <c r="E8" s="343">
        <v>1.93</v>
      </c>
      <c r="F8" s="344">
        <v>2.89</v>
      </c>
      <c r="G8" s="344">
        <v>2.48</v>
      </c>
      <c r="H8" s="345">
        <v>2.16</v>
      </c>
      <c r="I8" s="343">
        <v>1</v>
      </c>
      <c r="N8" s="346"/>
      <c r="O8" s="346"/>
      <c r="Q8" s="217" t="s">
        <v>287</v>
      </c>
      <c r="R8" s="258">
        <f>COUNTIF($I$3:$I$122,"&gt;5")-COUNTIF($I$3:$I$122,"&gt;=7")</f>
        <v>1</v>
      </c>
    </row>
    <row r="9" spans="1:18" ht="15">
      <c r="A9" s="90">
        <v>122</v>
      </c>
      <c r="B9" s="243" t="s">
        <v>128</v>
      </c>
      <c r="C9" s="277">
        <v>9</v>
      </c>
      <c r="D9" s="278">
        <v>1</v>
      </c>
      <c r="E9" s="343">
        <v>2.61</v>
      </c>
      <c r="F9" s="344">
        <v>2.1</v>
      </c>
      <c r="G9" s="344">
        <v>2.36</v>
      </c>
      <c r="H9" s="345">
        <v>2.69</v>
      </c>
      <c r="I9" s="343">
        <v>4</v>
      </c>
      <c r="Q9" s="217" t="s">
        <v>281</v>
      </c>
      <c r="R9" s="258">
        <f>COUNTIF($I$3:$I$122,"=7")</f>
        <v>3</v>
      </c>
    </row>
    <row r="10" spans="1:18" ht="15">
      <c r="A10" s="90">
        <v>167</v>
      </c>
      <c r="B10" s="243" t="s">
        <v>129</v>
      </c>
      <c r="C10" s="277">
        <v>1</v>
      </c>
      <c r="D10" s="278">
        <v>5</v>
      </c>
      <c r="E10" s="343">
        <v>3.49</v>
      </c>
      <c r="F10" s="344">
        <v>3.54</v>
      </c>
      <c r="G10" s="344">
        <v>3.58</v>
      </c>
      <c r="H10" s="345">
        <v>3.73</v>
      </c>
      <c r="I10" s="343">
        <v>3</v>
      </c>
      <c r="Q10" s="217" t="s">
        <v>288</v>
      </c>
      <c r="R10" s="258">
        <f>COUNTIF($I$3:$I$122,"&gt;7")-COUNTIF($I$3:$I$122,"&gt;=9")</f>
        <v>1</v>
      </c>
    </row>
    <row r="11" spans="1:18" ht="15">
      <c r="A11" s="90">
        <v>176</v>
      </c>
      <c r="B11" s="243" t="s">
        <v>130</v>
      </c>
      <c r="C11" s="277">
        <v>1</v>
      </c>
      <c r="D11" s="278">
        <v>1</v>
      </c>
      <c r="E11" s="343">
        <v>2.51</v>
      </c>
      <c r="F11" s="344">
        <v>3.43</v>
      </c>
      <c r="G11" s="344">
        <v>2.86</v>
      </c>
      <c r="H11" s="345">
        <v>4.29</v>
      </c>
      <c r="I11" s="343">
        <v>1</v>
      </c>
      <c r="Q11" s="217" t="s">
        <v>289</v>
      </c>
      <c r="R11" s="258">
        <f>COUNTIF($I$3:$I$122,"=9")</f>
        <v>2</v>
      </c>
    </row>
    <row r="12" spans="1:9" ht="15">
      <c r="A12" s="90">
        <v>323</v>
      </c>
      <c r="B12" s="243" t="s">
        <v>131</v>
      </c>
      <c r="C12" s="277">
        <v>1</v>
      </c>
      <c r="D12" s="278">
        <v>1</v>
      </c>
      <c r="E12" s="343">
        <v>2.35</v>
      </c>
      <c r="F12" s="344">
        <v>2.72</v>
      </c>
      <c r="G12" s="344">
        <v>2.66</v>
      </c>
      <c r="H12" s="345">
        <v>2.6</v>
      </c>
      <c r="I12" s="343">
        <v>1</v>
      </c>
    </row>
    <row r="13" spans="1:9" ht="15">
      <c r="A13" s="90">
        <v>333</v>
      </c>
      <c r="B13" s="243" t="s">
        <v>132</v>
      </c>
      <c r="C13" s="277">
        <v>1</v>
      </c>
      <c r="D13" s="278">
        <v>5</v>
      </c>
      <c r="E13" s="343">
        <v>2.81</v>
      </c>
      <c r="F13" s="344">
        <v>3.28</v>
      </c>
      <c r="G13" s="344"/>
      <c r="H13" s="345"/>
      <c r="I13" s="343">
        <v>1</v>
      </c>
    </row>
    <row r="14" spans="1:9" ht="15">
      <c r="A14" s="90">
        <v>396</v>
      </c>
      <c r="B14" s="243" t="s">
        <v>133</v>
      </c>
      <c r="C14" s="277">
        <v>9</v>
      </c>
      <c r="D14" s="278">
        <v>5</v>
      </c>
      <c r="E14" s="343">
        <v>2.36</v>
      </c>
      <c r="F14" s="344">
        <v>2.02</v>
      </c>
      <c r="G14" s="344">
        <v>2.2</v>
      </c>
      <c r="H14" s="345">
        <v>3.83</v>
      </c>
      <c r="I14" s="343">
        <v>1</v>
      </c>
    </row>
    <row r="15" spans="1:9" ht="15">
      <c r="A15" s="90">
        <v>476</v>
      </c>
      <c r="B15" s="243" t="s">
        <v>134</v>
      </c>
      <c r="C15" s="277">
        <v>1</v>
      </c>
      <c r="D15" s="278">
        <v>1</v>
      </c>
      <c r="E15" s="343">
        <v>2.33</v>
      </c>
      <c r="F15" s="344">
        <v>2.68</v>
      </c>
      <c r="G15" s="344">
        <v>2.43</v>
      </c>
      <c r="H15" s="345">
        <v>1.9</v>
      </c>
      <c r="I15" s="343">
        <v>1</v>
      </c>
    </row>
    <row r="16" spans="1:9" ht="15">
      <c r="A16" s="90">
        <v>477</v>
      </c>
      <c r="B16" s="243" t="s">
        <v>135</v>
      </c>
      <c r="C16" s="277">
        <v>1</v>
      </c>
      <c r="D16" s="278">
        <v>5</v>
      </c>
      <c r="E16" s="343">
        <v>2.57</v>
      </c>
      <c r="F16" s="344">
        <v>2.48</v>
      </c>
      <c r="G16" s="344">
        <v>2.9</v>
      </c>
      <c r="H16" s="345">
        <v>2.67</v>
      </c>
      <c r="I16" s="343">
        <v>1</v>
      </c>
    </row>
    <row r="17" spans="1:9" ht="15">
      <c r="A17" s="90">
        <v>481</v>
      </c>
      <c r="B17" s="243" t="s">
        <v>136</v>
      </c>
      <c r="C17" s="277">
        <v>1</v>
      </c>
      <c r="D17" s="278">
        <v>3</v>
      </c>
      <c r="E17" s="343">
        <v>2.58</v>
      </c>
      <c r="F17" s="344">
        <v>2.89</v>
      </c>
      <c r="G17" s="344">
        <v>2.48</v>
      </c>
      <c r="H17" s="345">
        <v>3.13</v>
      </c>
      <c r="I17" s="343">
        <v>1</v>
      </c>
    </row>
    <row r="18" spans="1:9" ht="15">
      <c r="A18" s="90">
        <v>500</v>
      </c>
      <c r="B18" s="243" t="s">
        <v>137</v>
      </c>
      <c r="C18" s="277">
        <v>9</v>
      </c>
      <c r="D18" s="278">
        <v>1</v>
      </c>
      <c r="E18" s="343">
        <v>3.46</v>
      </c>
      <c r="F18" s="344">
        <v>1.55</v>
      </c>
      <c r="G18" s="344">
        <v>2.28</v>
      </c>
      <c r="H18" s="345">
        <v>2.01</v>
      </c>
      <c r="I18" s="343">
        <v>7</v>
      </c>
    </row>
    <row r="19" spans="1:9" ht="15">
      <c r="A19" s="90">
        <v>501</v>
      </c>
      <c r="B19" s="243" t="s">
        <v>138</v>
      </c>
      <c r="C19" s="277">
        <v>1</v>
      </c>
      <c r="D19" s="278">
        <v>3</v>
      </c>
      <c r="E19" s="343"/>
      <c r="F19" s="344"/>
      <c r="G19" s="344"/>
      <c r="H19" s="345"/>
      <c r="I19" s="343">
        <v>1</v>
      </c>
    </row>
    <row r="20" spans="1:9" ht="15">
      <c r="A20" s="90">
        <v>502</v>
      </c>
      <c r="B20" s="243" t="s">
        <v>139</v>
      </c>
      <c r="C20" s="277">
        <v>1</v>
      </c>
      <c r="D20" s="278">
        <v>1</v>
      </c>
      <c r="E20" s="343">
        <v>3.04</v>
      </c>
      <c r="F20" s="344">
        <v>1.84</v>
      </c>
      <c r="G20" s="344">
        <v>2.89</v>
      </c>
      <c r="H20" s="345">
        <v>2.03</v>
      </c>
      <c r="I20" s="343">
        <v>1</v>
      </c>
    </row>
    <row r="21" spans="1:9" ht="15">
      <c r="A21" s="90">
        <v>512</v>
      </c>
      <c r="B21" s="244" t="s">
        <v>140</v>
      </c>
      <c r="C21" s="277">
        <v>1</v>
      </c>
      <c r="D21" s="278">
        <v>9</v>
      </c>
      <c r="E21" s="343">
        <v>2.68</v>
      </c>
      <c r="F21" s="344">
        <v>2.13</v>
      </c>
      <c r="G21" s="344">
        <v>2.47</v>
      </c>
      <c r="H21" s="345">
        <v>2.3</v>
      </c>
      <c r="I21" s="343">
        <v>1</v>
      </c>
    </row>
    <row r="22" spans="1:9" ht="15">
      <c r="A22" s="90">
        <v>518</v>
      </c>
      <c r="B22" s="244" t="s">
        <v>141</v>
      </c>
      <c r="C22" s="277">
        <v>1</v>
      </c>
      <c r="D22" s="278">
        <v>9</v>
      </c>
      <c r="E22" s="343">
        <v>1.89</v>
      </c>
      <c r="F22" s="344">
        <v>2.73</v>
      </c>
      <c r="G22" s="344">
        <v>2.52</v>
      </c>
      <c r="H22" s="345">
        <v>2.19</v>
      </c>
      <c r="I22" s="343">
        <v>6</v>
      </c>
    </row>
    <row r="23" spans="1:9" ht="15">
      <c r="A23" s="90">
        <v>519</v>
      </c>
      <c r="B23" s="244" t="s">
        <v>142</v>
      </c>
      <c r="C23" s="277">
        <v>1</v>
      </c>
      <c r="D23" s="278">
        <v>7</v>
      </c>
      <c r="E23" s="343"/>
      <c r="F23" s="344"/>
      <c r="G23" s="344"/>
      <c r="H23" s="345"/>
      <c r="I23" s="343">
        <v>4</v>
      </c>
    </row>
    <row r="24" spans="1:9" ht="15">
      <c r="A24" s="90">
        <v>520</v>
      </c>
      <c r="B24" s="244" t="s">
        <v>143</v>
      </c>
      <c r="C24" s="277">
        <v>9</v>
      </c>
      <c r="D24" s="278">
        <v>7</v>
      </c>
      <c r="E24" s="343">
        <v>2.53</v>
      </c>
      <c r="F24" s="344">
        <v>2.88</v>
      </c>
      <c r="G24" s="344">
        <v>2.39</v>
      </c>
      <c r="H24" s="345">
        <v>2.03</v>
      </c>
      <c r="I24" s="343">
        <v>1</v>
      </c>
    </row>
    <row r="25" spans="1:9" ht="15">
      <c r="A25" s="90">
        <v>523</v>
      </c>
      <c r="B25" s="244" t="s">
        <v>144</v>
      </c>
      <c r="C25" s="277">
        <v>1</v>
      </c>
      <c r="D25" s="278">
        <v>9</v>
      </c>
      <c r="E25" s="343">
        <v>2.51</v>
      </c>
      <c r="F25" s="344">
        <v>2.15</v>
      </c>
      <c r="G25" s="344">
        <v>2.36</v>
      </c>
      <c r="H25" s="345">
        <v>21.6</v>
      </c>
      <c r="I25" s="343">
        <v>1</v>
      </c>
    </row>
    <row r="26" spans="1:9" ht="15">
      <c r="A26" s="90">
        <v>524</v>
      </c>
      <c r="B26" s="244" t="s">
        <v>145</v>
      </c>
      <c r="C26" s="277">
        <v>1</v>
      </c>
      <c r="D26" s="278">
        <v>9</v>
      </c>
      <c r="E26" s="343">
        <v>2.44</v>
      </c>
      <c r="F26" s="344">
        <v>2.41</v>
      </c>
      <c r="G26" s="344">
        <v>2.13</v>
      </c>
      <c r="H26" s="345">
        <v>2.13</v>
      </c>
      <c r="I26" s="343">
        <v>1</v>
      </c>
    </row>
    <row r="27" spans="1:9" ht="15">
      <c r="A27" s="90">
        <v>527</v>
      </c>
      <c r="B27" s="244" t="s">
        <v>146</v>
      </c>
      <c r="C27" s="277">
        <v>1</v>
      </c>
      <c r="D27" s="278">
        <v>9</v>
      </c>
      <c r="E27" s="343">
        <v>2.29</v>
      </c>
      <c r="F27" s="344">
        <v>2.08</v>
      </c>
      <c r="G27" s="344">
        <v>1.86</v>
      </c>
      <c r="H27" s="345">
        <v>1.85</v>
      </c>
      <c r="I27" s="343">
        <v>1</v>
      </c>
    </row>
    <row r="28" spans="1:9" ht="15">
      <c r="A28" s="90">
        <v>534</v>
      </c>
      <c r="B28" s="244" t="s">
        <v>147</v>
      </c>
      <c r="C28" s="277">
        <v>1</v>
      </c>
      <c r="D28" s="278">
        <v>5</v>
      </c>
      <c r="E28" s="343">
        <v>2.68</v>
      </c>
      <c r="F28" s="344">
        <v>2.83</v>
      </c>
      <c r="G28" s="344">
        <v>3.37</v>
      </c>
      <c r="H28" s="345">
        <v>3.05</v>
      </c>
      <c r="I28" s="343">
        <v>1</v>
      </c>
    </row>
    <row r="29" spans="1:9" ht="15">
      <c r="A29" s="90">
        <v>539</v>
      </c>
      <c r="B29" s="244" t="s">
        <v>148</v>
      </c>
      <c r="C29" s="277">
        <v>9</v>
      </c>
      <c r="D29" s="278">
        <v>9</v>
      </c>
      <c r="E29" s="343">
        <v>2.37</v>
      </c>
      <c r="F29" s="344">
        <v>2.73</v>
      </c>
      <c r="G29" s="344">
        <v>2.86</v>
      </c>
      <c r="H29" s="345">
        <v>2.75</v>
      </c>
      <c r="I29" s="343">
        <v>1</v>
      </c>
    </row>
    <row r="30" spans="1:9" ht="15">
      <c r="A30" s="90">
        <v>540</v>
      </c>
      <c r="B30" s="235" t="s">
        <v>149</v>
      </c>
      <c r="C30" s="277">
        <v>1</v>
      </c>
      <c r="D30" s="278">
        <v>9</v>
      </c>
      <c r="E30" s="343">
        <v>2.51</v>
      </c>
      <c r="F30" s="344">
        <v>2.44</v>
      </c>
      <c r="G30" s="344">
        <v>2.7</v>
      </c>
      <c r="H30" s="345">
        <v>2.07</v>
      </c>
      <c r="I30" s="343">
        <v>1</v>
      </c>
    </row>
    <row r="31" spans="1:9" ht="15">
      <c r="A31" s="90">
        <v>547</v>
      </c>
      <c r="B31" s="243" t="s">
        <v>150</v>
      </c>
      <c r="C31" s="277">
        <v>1</v>
      </c>
      <c r="D31" s="278">
        <v>5</v>
      </c>
      <c r="E31" s="343"/>
      <c r="F31" s="344"/>
      <c r="G31" s="344"/>
      <c r="H31" s="345"/>
      <c r="I31" s="343">
        <v>1</v>
      </c>
    </row>
    <row r="32" spans="1:9" ht="15">
      <c r="A32" s="90">
        <v>553</v>
      </c>
      <c r="B32" s="243" t="s">
        <v>151</v>
      </c>
      <c r="C32" s="277">
        <v>1</v>
      </c>
      <c r="D32" s="278">
        <v>7</v>
      </c>
      <c r="E32" s="343">
        <v>2.96</v>
      </c>
      <c r="F32" s="344">
        <v>2.73</v>
      </c>
      <c r="G32" s="344">
        <v>2.7</v>
      </c>
      <c r="H32" s="345">
        <v>2.45</v>
      </c>
      <c r="I32" s="343">
        <v>3</v>
      </c>
    </row>
    <row r="33" spans="1:9" ht="15">
      <c r="A33" s="90">
        <v>597</v>
      </c>
      <c r="B33" s="243" t="s">
        <v>152</v>
      </c>
      <c r="C33" s="277">
        <v>1</v>
      </c>
      <c r="D33" s="278">
        <v>7</v>
      </c>
      <c r="E33" s="343">
        <v>2.21</v>
      </c>
      <c r="F33" s="344">
        <v>2.37</v>
      </c>
      <c r="G33" s="344">
        <v>1.85</v>
      </c>
      <c r="H33" s="345">
        <v>2.31</v>
      </c>
      <c r="I33" s="343">
        <v>1</v>
      </c>
    </row>
    <row r="34" spans="1:9" ht="15">
      <c r="A34" s="90">
        <v>635</v>
      </c>
      <c r="B34" s="243" t="s">
        <v>153</v>
      </c>
      <c r="C34" s="277">
        <v>1</v>
      </c>
      <c r="D34" s="278">
        <v>3</v>
      </c>
      <c r="E34" s="343">
        <v>3.12</v>
      </c>
      <c r="F34" s="344">
        <v>2.61</v>
      </c>
      <c r="G34" s="344">
        <v>2.53</v>
      </c>
      <c r="H34" s="345">
        <v>2.82</v>
      </c>
      <c r="I34" s="343">
        <v>1</v>
      </c>
    </row>
    <row r="35" spans="1:9" ht="15">
      <c r="A35" s="90">
        <v>667</v>
      </c>
      <c r="B35" s="243" t="s">
        <v>154</v>
      </c>
      <c r="C35" s="277">
        <v>9</v>
      </c>
      <c r="D35" s="278">
        <v>1</v>
      </c>
      <c r="E35" s="343">
        <v>2.43</v>
      </c>
      <c r="F35" s="344">
        <v>1.88</v>
      </c>
      <c r="G35" s="344">
        <v>2.16</v>
      </c>
      <c r="H35" s="345">
        <v>2.04</v>
      </c>
      <c r="I35" s="343">
        <v>1</v>
      </c>
    </row>
    <row r="36" spans="1:9" ht="15">
      <c r="A36" s="90">
        <v>669</v>
      </c>
      <c r="B36" s="243" t="s">
        <v>155</v>
      </c>
      <c r="C36" s="277"/>
      <c r="D36" s="278">
        <v>1</v>
      </c>
      <c r="E36" s="343"/>
      <c r="F36" s="344"/>
      <c r="G36" s="344"/>
      <c r="H36" s="345"/>
      <c r="I36" s="343">
        <v>7</v>
      </c>
    </row>
    <row r="37" spans="1:9" ht="15">
      <c r="A37" s="90">
        <v>670</v>
      </c>
      <c r="B37" s="243" t="s">
        <v>156</v>
      </c>
      <c r="C37" s="277">
        <v>9</v>
      </c>
      <c r="D37" s="278">
        <v>1</v>
      </c>
      <c r="E37" s="343">
        <v>1.76</v>
      </c>
      <c r="F37" s="344">
        <v>2.01</v>
      </c>
      <c r="G37" s="344">
        <v>2.55</v>
      </c>
      <c r="H37" s="345">
        <v>2.12</v>
      </c>
      <c r="I37" s="343">
        <v>1</v>
      </c>
    </row>
    <row r="38" spans="1:9" ht="15">
      <c r="A38" s="90">
        <v>674</v>
      </c>
      <c r="B38" s="243" t="s">
        <v>157</v>
      </c>
      <c r="C38" s="277">
        <v>1</v>
      </c>
      <c r="D38" s="278">
        <v>1</v>
      </c>
      <c r="E38" s="343">
        <v>1.92</v>
      </c>
      <c r="F38" s="344">
        <v>2.47</v>
      </c>
      <c r="G38" s="344">
        <v>1.83</v>
      </c>
      <c r="H38" s="345">
        <v>1.88</v>
      </c>
      <c r="I38" s="343">
        <v>5</v>
      </c>
    </row>
    <row r="39" spans="1:9" ht="15">
      <c r="A39" s="90">
        <v>696</v>
      </c>
      <c r="B39" s="243" t="s">
        <v>158</v>
      </c>
      <c r="C39" s="277">
        <v>1</v>
      </c>
      <c r="D39" s="278">
        <v>1</v>
      </c>
      <c r="E39" s="343">
        <v>2.38</v>
      </c>
      <c r="F39" s="344">
        <v>2.93</v>
      </c>
      <c r="G39" s="344">
        <v>2.57</v>
      </c>
      <c r="H39" s="345">
        <v>2.36</v>
      </c>
      <c r="I39" s="343">
        <v>1</v>
      </c>
    </row>
    <row r="40" spans="1:9" ht="15">
      <c r="A40" s="90">
        <v>826</v>
      </c>
      <c r="B40" s="243" t="s">
        <v>159</v>
      </c>
      <c r="C40" s="277">
        <v>1</v>
      </c>
      <c r="D40" s="278">
        <v>3</v>
      </c>
      <c r="E40" s="343">
        <v>2.88</v>
      </c>
      <c r="F40" s="344">
        <v>3.03</v>
      </c>
      <c r="G40" s="344">
        <v>2.37</v>
      </c>
      <c r="H40" s="345">
        <v>3.29</v>
      </c>
      <c r="I40" s="343">
        <v>1</v>
      </c>
    </row>
    <row r="41" spans="1:9" ht="15">
      <c r="A41" s="90">
        <v>1262</v>
      </c>
      <c r="B41" s="244" t="s">
        <v>160</v>
      </c>
      <c r="C41" s="277">
        <v>1</v>
      </c>
      <c r="D41" s="278">
        <v>7</v>
      </c>
      <c r="E41" s="343">
        <v>4.11</v>
      </c>
      <c r="F41" s="344">
        <v>3.67</v>
      </c>
      <c r="G41" s="344">
        <v>4.05</v>
      </c>
      <c r="H41" s="345">
        <v>3.53</v>
      </c>
      <c r="I41" s="343">
        <v>1</v>
      </c>
    </row>
    <row r="42" spans="1:9" ht="15">
      <c r="A42" s="90">
        <v>1306</v>
      </c>
      <c r="B42" s="244" t="s">
        <v>161</v>
      </c>
      <c r="C42" s="277">
        <v>1</v>
      </c>
      <c r="D42" s="278">
        <v>1</v>
      </c>
      <c r="E42" s="343"/>
      <c r="F42" s="344"/>
      <c r="G42" s="344"/>
      <c r="H42" s="345"/>
      <c r="I42" s="343">
        <v>1</v>
      </c>
    </row>
    <row r="43" spans="1:9" ht="15">
      <c r="A43" s="90">
        <v>74</v>
      </c>
      <c r="B43" s="244" t="s">
        <v>162</v>
      </c>
      <c r="C43" s="277">
        <v>9</v>
      </c>
      <c r="D43" s="278">
        <v>7</v>
      </c>
      <c r="E43" s="343">
        <v>2.69</v>
      </c>
      <c r="F43" s="344">
        <v>1.51</v>
      </c>
      <c r="G43" s="344">
        <v>2.25</v>
      </c>
      <c r="H43" s="345">
        <v>2.8</v>
      </c>
      <c r="I43" s="343">
        <v>1</v>
      </c>
    </row>
    <row r="44" spans="1:9" ht="15">
      <c r="A44" s="90">
        <v>1395</v>
      </c>
      <c r="B44" s="244" t="s">
        <v>163</v>
      </c>
      <c r="C44" s="277">
        <v>1</v>
      </c>
      <c r="D44" s="278">
        <v>9</v>
      </c>
      <c r="E44" s="343">
        <v>3.05</v>
      </c>
      <c r="F44" s="344">
        <v>3.37</v>
      </c>
      <c r="G44" s="344">
        <v>2.97</v>
      </c>
      <c r="H44" s="345">
        <v>2.97</v>
      </c>
      <c r="I44" s="343">
        <v>3</v>
      </c>
    </row>
    <row r="45" spans="1:9" ht="15">
      <c r="A45" s="90">
        <v>1473</v>
      </c>
      <c r="B45" s="244" t="s">
        <v>164</v>
      </c>
      <c r="C45" s="277">
        <v>1</v>
      </c>
      <c r="D45" s="278">
        <v>7</v>
      </c>
      <c r="E45" s="343">
        <v>3.39</v>
      </c>
      <c r="F45" s="344">
        <v>2.34</v>
      </c>
      <c r="G45" s="344">
        <v>1.55</v>
      </c>
      <c r="H45" s="345">
        <v>2.03</v>
      </c>
      <c r="I45" s="343">
        <v>1</v>
      </c>
    </row>
    <row r="46" spans="1:9" ht="15">
      <c r="A46" s="90">
        <v>1488</v>
      </c>
      <c r="B46" s="244" t="s">
        <v>165</v>
      </c>
      <c r="C46" s="277">
        <v>1</v>
      </c>
      <c r="D46" s="278">
        <v>5</v>
      </c>
      <c r="E46" s="343">
        <v>2.76</v>
      </c>
      <c r="F46" s="344">
        <v>3.29</v>
      </c>
      <c r="G46" s="344">
        <v>2.44</v>
      </c>
      <c r="H46" s="345">
        <v>2.91</v>
      </c>
      <c r="I46" s="343">
        <v>1</v>
      </c>
    </row>
    <row r="47" spans="1:9" ht="15">
      <c r="A47" s="90">
        <v>1489</v>
      </c>
      <c r="B47" s="244" t="s">
        <v>166</v>
      </c>
      <c r="C47" s="277"/>
      <c r="D47" s="278">
        <v>5</v>
      </c>
      <c r="E47" s="343">
        <v>2.66</v>
      </c>
      <c r="F47" s="344">
        <v>3</v>
      </c>
      <c r="G47" s="344">
        <v>2.83</v>
      </c>
      <c r="H47" s="345">
        <v>2.66</v>
      </c>
      <c r="I47" s="343">
        <v>1</v>
      </c>
    </row>
    <row r="48" spans="1:9" ht="15">
      <c r="A48" s="90">
        <v>1506</v>
      </c>
      <c r="B48" s="244" t="s">
        <v>167</v>
      </c>
      <c r="C48" s="277"/>
      <c r="D48" s="278">
        <v>5</v>
      </c>
      <c r="E48" s="343">
        <v>2.58</v>
      </c>
      <c r="F48" s="344">
        <v>1.67</v>
      </c>
      <c r="G48" s="344">
        <v>2.36</v>
      </c>
      <c r="H48" s="345">
        <v>2.1</v>
      </c>
      <c r="I48" s="343">
        <v>1</v>
      </c>
    </row>
    <row r="49" spans="1:9" ht="15">
      <c r="A49" s="90">
        <v>1508</v>
      </c>
      <c r="B49" s="244" t="s">
        <v>168</v>
      </c>
      <c r="C49" s="277">
        <v>1</v>
      </c>
      <c r="D49" s="278">
        <v>1</v>
      </c>
      <c r="E49" s="343">
        <v>2.7</v>
      </c>
      <c r="F49" s="344">
        <v>2.71</v>
      </c>
      <c r="G49" s="344">
        <v>2.6</v>
      </c>
      <c r="H49" s="345">
        <v>2.66</v>
      </c>
      <c r="I49" s="343">
        <v>3</v>
      </c>
    </row>
    <row r="50" spans="1:9" ht="15">
      <c r="A50" s="90">
        <v>1511</v>
      </c>
      <c r="B50" s="244" t="s">
        <v>169</v>
      </c>
      <c r="C50" s="277">
        <v>1</v>
      </c>
      <c r="D50" s="278">
        <v>5</v>
      </c>
      <c r="E50" s="343">
        <v>2.92</v>
      </c>
      <c r="F50" s="344">
        <v>2.88</v>
      </c>
      <c r="G50" s="344">
        <v>2.65</v>
      </c>
      <c r="H50" s="345">
        <v>3.12</v>
      </c>
      <c r="I50" s="343">
        <v>2</v>
      </c>
    </row>
    <row r="51" spans="1:9" ht="15">
      <c r="A51" s="90">
        <v>1514</v>
      </c>
      <c r="B51" s="246" t="s">
        <v>170</v>
      </c>
      <c r="C51" s="277">
        <v>1</v>
      </c>
      <c r="D51" s="278">
        <v>7</v>
      </c>
      <c r="E51" s="343">
        <v>2.55</v>
      </c>
      <c r="F51" s="344">
        <v>2</v>
      </c>
      <c r="G51" s="344">
        <v>1.99</v>
      </c>
      <c r="H51" s="345">
        <v>1.69</v>
      </c>
      <c r="I51" s="343">
        <v>1</v>
      </c>
    </row>
    <row r="52" spans="1:9" ht="15">
      <c r="A52" s="90">
        <v>1516</v>
      </c>
      <c r="B52" s="244" t="s">
        <v>171</v>
      </c>
      <c r="C52" s="277">
        <v>1</v>
      </c>
      <c r="D52" s="278">
        <v>9</v>
      </c>
      <c r="E52" s="343">
        <v>3.14</v>
      </c>
      <c r="F52" s="344">
        <v>3.34</v>
      </c>
      <c r="G52" s="344">
        <v>3.07</v>
      </c>
      <c r="H52" s="345">
        <v>3.38</v>
      </c>
      <c r="I52" s="343">
        <v>1</v>
      </c>
    </row>
    <row r="53" spans="1:9" ht="15">
      <c r="A53" s="90">
        <v>1530</v>
      </c>
      <c r="B53" s="244" t="s">
        <v>172</v>
      </c>
      <c r="C53" s="277">
        <v>1</v>
      </c>
      <c r="D53" s="278">
        <v>9</v>
      </c>
      <c r="E53" s="343">
        <v>3.32</v>
      </c>
      <c r="F53" s="344">
        <v>2.85</v>
      </c>
      <c r="G53" s="344">
        <v>3</v>
      </c>
      <c r="H53" s="345">
        <v>3.11</v>
      </c>
      <c r="I53" s="343">
        <v>2</v>
      </c>
    </row>
    <row r="54" spans="1:9" ht="15">
      <c r="A54" s="194">
        <v>1634</v>
      </c>
      <c r="B54" s="244" t="s">
        <v>173</v>
      </c>
      <c r="C54" s="277">
        <v>1</v>
      </c>
      <c r="D54" s="278">
        <v>9</v>
      </c>
      <c r="E54" s="343">
        <v>3.96</v>
      </c>
      <c r="F54" s="344">
        <v>3.27</v>
      </c>
      <c r="G54" s="344">
        <v>3.83</v>
      </c>
      <c r="H54" s="345">
        <v>3.18</v>
      </c>
      <c r="I54" s="343">
        <v>1</v>
      </c>
    </row>
    <row r="55" spans="1:9" ht="15">
      <c r="A55" s="194">
        <v>1635</v>
      </c>
      <c r="B55" s="244" t="s">
        <v>174</v>
      </c>
      <c r="C55" s="277"/>
      <c r="D55" s="278">
        <v>5</v>
      </c>
      <c r="E55" s="343">
        <v>2.52</v>
      </c>
      <c r="F55" s="344">
        <v>2.6</v>
      </c>
      <c r="G55" s="344">
        <v>2.98</v>
      </c>
      <c r="H55" s="345">
        <v>2.07</v>
      </c>
      <c r="I55" s="343">
        <v>1</v>
      </c>
    </row>
    <row r="56" spans="1:9" ht="15">
      <c r="A56" s="194">
        <v>1636</v>
      </c>
      <c r="B56" s="244" t="s">
        <v>175</v>
      </c>
      <c r="C56" s="277">
        <v>1</v>
      </c>
      <c r="D56" s="278">
        <v>1</v>
      </c>
      <c r="E56" s="343">
        <v>2.55</v>
      </c>
      <c r="F56" s="344">
        <v>2.31</v>
      </c>
      <c r="G56" s="344">
        <v>2.51</v>
      </c>
      <c r="H56" s="345">
        <v>1.7</v>
      </c>
      <c r="I56" s="343">
        <v>1</v>
      </c>
    </row>
    <row r="57" spans="1:9" ht="15">
      <c r="A57" s="194">
        <v>1638</v>
      </c>
      <c r="B57" s="244" t="s">
        <v>176</v>
      </c>
      <c r="C57" s="277">
        <v>9</v>
      </c>
      <c r="D57" s="278">
        <v>1</v>
      </c>
      <c r="E57" s="343">
        <v>2.84</v>
      </c>
      <c r="F57" s="344">
        <v>2.56</v>
      </c>
      <c r="G57" s="344">
        <v>1.92</v>
      </c>
      <c r="H57" s="345">
        <v>2.66</v>
      </c>
      <c r="I57" s="343">
        <v>1</v>
      </c>
    </row>
    <row r="58" spans="1:9" ht="15">
      <c r="A58" s="194">
        <v>1639</v>
      </c>
      <c r="B58" s="244" t="s">
        <v>177</v>
      </c>
      <c r="C58" s="277">
        <v>9</v>
      </c>
      <c r="D58" s="278">
        <v>1</v>
      </c>
      <c r="E58" s="343">
        <v>2.86</v>
      </c>
      <c r="F58" s="344">
        <v>2.45</v>
      </c>
      <c r="G58" s="344">
        <v>2.71</v>
      </c>
      <c r="H58" s="345">
        <v>2.84</v>
      </c>
      <c r="I58" s="343">
        <v>4</v>
      </c>
    </row>
    <row r="59" spans="1:9" ht="15">
      <c r="A59" s="194">
        <v>1640</v>
      </c>
      <c r="B59" s="244" t="s">
        <v>178</v>
      </c>
      <c r="C59" s="277"/>
      <c r="D59" s="278">
        <v>1</v>
      </c>
      <c r="E59" s="343">
        <v>2.11</v>
      </c>
      <c r="F59" s="344">
        <v>2.24</v>
      </c>
      <c r="G59" s="344">
        <v>2.86</v>
      </c>
      <c r="H59" s="345">
        <v>2.04</v>
      </c>
      <c r="I59" s="343">
        <v>4</v>
      </c>
    </row>
    <row r="60" spans="1:9" ht="15">
      <c r="A60" s="194">
        <v>1642</v>
      </c>
      <c r="B60" s="244" t="s">
        <v>179</v>
      </c>
      <c r="C60" s="277">
        <v>9</v>
      </c>
      <c r="D60" s="278">
        <v>1</v>
      </c>
      <c r="E60" s="343">
        <v>2.48</v>
      </c>
      <c r="F60" s="344">
        <v>2.42</v>
      </c>
      <c r="G60" s="344">
        <v>2.65</v>
      </c>
      <c r="H60" s="345">
        <v>1.63</v>
      </c>
      <c r="I60" s="343">
        <v>1</v>
      </c>
    </row>
    <row r="61" spans="1:9" ht="15">
      <c r="A61" s="194">
        <v>1643</v>
      </c>
      <c r="B61" s="246" t="s">
        <v>180</v>
      </c>
      <c r="C61" s="277">
        <v>1</v>
      </c>
      <c r="D61" s="278">
        <v>7</v>
      </c>
      <c r="E61" s="343">
        <v>2.97</v>
      </c>
      <c r="F61" s="344">
        <v>2.88</v>
      </c>
      <c r="G61" s="344">
        <v>2.58</v>
      </c>
      <c r="H61" s="345">
        <v>3.61</v>
      </c>
      <c r="I61" s="343">
        <v>1</v>
      </c>
    </row>
    <row r="62" spans="1:9" ht="15">
      <c r="A62" s="194">
        <v>1644</v>
      </c>
      <c r="B62" s="244" t="s">
        <v>181</v>
      </c>
      <c r="C62" s="277">
        <v>1</v>
      </c>
      <c r="D62" s="278">
        <v>1</v>
      </c>
      <c r="E62" s="343">
        <v>2.55</v>
      </c>
      <c r="F62" s="344">
        <v>2.8</v>
      </c>
      <c r="G62" s="344">
        <v>2.48</v>
      </c>
      <c r="H62" s="345">
        <v>2.58</v>
      </c>
      <c r="I62" s="343">
        <v>1</v>
      </c>
    </row>
    <row r="63" spans="1:9" ht="15">
      <c r="A63" s="194">
        <v>1645</v>
      </c>
      <c r="B63" s="244" t="s">
        <v>182</v>
      </c>
      <c r="C63" s="277">
        <v>9</v>
      </c>
      <c r="D63" s="278">
        <v>5</v>
      </c>
      <c r="E63" s="343">
        <v>2.61</v>
      </c>
      <c r="F63" s="344">
        <v>2.53</v>
      </c>
      <c r="G63" s="344">
        <v>2.36</v>
      </c>
      <c r="H63" s="345">
        <v>2.38</v>
      </c>
      <c r="I63" s="343">
        <v>2</v>
      </c>
    </row>
    <row r="64" spans="1:9" ht="15">
      <c r="A64" s="194">
        <v>1646</v>
      </c>
      <c r="B64" s="244" t="s">
        <v>183</v>
      </c>
      <c r="C64" s="277">
        <v>1</v>
      </c>
      <c r="D64" s="278">
        <v>5</v>
      </c>
      <c r="E64" s="343">
        <v>2.75</v>
      </c>
      <c r="F64" s="344">
        <v>2.94</v>
      </c>
      <c r="G64" s="344">
        <v>2.97</v>
      </c>
      <c r="H64" s="345">
        <v>2.94</v>
      </c>
      <c r="I64" s="343">
        <v>1</v>
      </c>
    </row>
    <row r="65" spans="1:9" ht="15">
      <c r="A65" s="194">
        <v>1647</v>
      </c>
      <c r="B65" s="244" t="s">
        <v>184</v>
      </c>
      <c r="C65" s="277">
        <v>1</v>
      </c>
      <c r="D65" s="278">
        <v>1</v>
      </c>
      <c r="E65" s="343">
        <v>2.4</v>
      </c>
      <c r="F65" s="344">
        <v>2.28</v>
      </c>
      <c r="G65" s="344">
        <v>2.44</v>
      </c>
      <c r="H65" s="345">
        <v>2.46</v>
      </c>
      <c r="I65" s="343">
        <v>3</v>
      </c>
    </row>
    <row r="66" spans="1:9" ht="15">
      <c r="A66" s="194">
        <v>1648</v>
      </c>
      <c r="B66" s="244" t="s">
        <v>185</v>
      </c>
      <c r="C66" s="277">
        <v>1</v>
      </c>
      <c r="D66" s="278">
        <v>1</v>
      </c>
      <c r="E66" s="343">
        <v>2.72</v>
      </c>
      <c r="F66" s="344">
        <v>2.78</v>
      </c>
      <c r="G66" s="344">
        <v>2.08</v>
      </c>
      <c r="H66" s="345">
        <v>2.95</v>
      </c>
      <c r="I66" s="343">
        <v>1</v>
      </c>
    </row>
    <row r="67" spans="1:9" ht="15">
      <c r="A67" s="194">
        <v>1649</v>
      </c>
      <c r="B67" s="244" t="s">
        <v>186</v>
      </c>
      <c r="C67" s="277">
        <v>1</v>
      </c>
      <c r="D67" s="278">
        <v>1</v>
      </c>
      <c r="E67" s="343">
        <v>1.89</v>
      </c>
      <c r="F67" s="344">
        <v>1.95</v>
      </c>
      <c r="G67" s="344">
        <v>1.99</v>
      </c>
      <c r="H67" s="345">
        <v>2.62</v>
      </c>
      <c r="I67" s="343">
        <v>1</v>
      </c>
    </row>
    <row r="68" spans="1:9" ht="15">
      <c r="A68" s="194">
        <v>1650</v>
      </c>
      <c r="B68" s="244" t="s">
        <v>188</v>
      </c>
      <c r="C68" s="277">
        <v>9</v>
      </c>
      <c r="D68" s="278">
        <v>1</v>
      </c>
      <c r="E68" s="343">
        <v>2.71</v>
      </c>
      <c r="F68" s="344">
        <v>2.51</v>
      </c>
      <c r="G68" s="344">
        <v>2.8</v>
      </c>
      <c r="H68" s="345">
        <v>2.47</v>
      </c>
      <c r="I68" s="343">
        <v>4</v>
      </c>
    </row>
    <row r="69" spans="1:9" ht="15">
      <c r="A69" s="194">
        <v>1651</v>
      </c>
      <c r="B69" s="246" t="s">
        <v>189</v>
      </c>
      <c r="C69" s="277">
        <v>9</v>
      </c>
      <c r="D69" s="278">
        <v>1</v>
      </c>
      <c r="E69" s="343">
        <v>2.89</v>
      </c>
      <c r="F69" s="344">
        <v>2.73</v>
      </c>
      <c r="G69" s="344">
        <v>2.07</v>
      </c>
      <c r="H69" s="345">
        <v>2.69</v>
      </c>
      <c r="I69" s="343">
        <v>1</v>
      </c>
    </row>
    <row r="70" spans="1:9" ht="15">
      <c r="A70" s="194">
        <v>1652</v>
      </c>
      <c r="B70" s="246" t="s">
        <v>190</v>
      </c>
      <c r="C70" s="277">
        <v>1</v>
      </c>
      <c r="D70" s="278">
        <v>1</v>
      </c>
      <c r="E70" s="343">
        <v>2.63</v>
      </c>
      <c r="F70" s="344">
        <v>3.14</v>
      </c>
      <c r="G70" s="344">
        <v>2.08</v>
      </c>
      <c r="H70" s="345">
        <v>2.33</v>
      </c>
      <c r="I70" s="343">
        <v>1</v>
      </c>
    </row>
    <row r="71" spans="1:9" ht="15">
      <c r="A71" s="194">
        <v>1653</v>
      </c>
      <c r="B71" s="244" t="s">
        <v>191</v>
      </c>
      <c r="C71" s="277">
        <v>9</v>
      </c>
      <c r="D71" s="278">
        <v>5</v>
      </c>
      <c r="E71" s="343">
        <v>1.78</v>
      </c>
      <c r="F71" s="344">
        <v>2.23</v>
      </c>
      <c r="G71" s="344">
        <v>2.26</v>
      </c>
      <c r="H71" s="345">
        <v>2.47</v>
      </c>
      <c r="I71" s="343">
        <v>7</v>
      </c>
    </row>
    <row r="72" spans="1:9" ht="15">
      <c r="A72" s="194">
        <v>1654</v>
      </c>
      <c r="B72" s="244" t="s">
        <v>192</v>
      </c>
      <c r="C72" s="277">
        <v>1</v>
      </c>
      <c r="D72" s="278">
        <v>1</v>
      </c>
      <c r="E72" s="343">
        <v>2.37</v>
      </c>
      <c r="F72" s="344">
        <v>2.75</v>
      </c>
      <c r="G72" s="344">
        <v>2.38</v>
      </c>
      <c r="H72" s="345">
        <v>0.5</v>
      </c>
      <c r="I72" s="343">
        <v>1</v>
      </c>
    </row>
    <row r="73" spans="1:9" ht="15">
      <c r="A73" s="194">
        <v>1655</v>
      </c>
      <c r="B73" s="244" t="s">
        <v>193</v>
      </c>
      <c r="C73" s="277">
        <v>1</v>
      </c>
      <c r="D73" s="278">
        <v>1</v>
      </c>
      <c r="E73" s="343">
        <v>3.25</v>
      </c>
      <c r="F73" s="344">
        <v>2.93</v>
      </c>
      <c r="G73" s="344">
        <v>2.53</v>
      </c>
      <c r="H73" s="345">
        <v>2.25</v>
      </c>
      <c r="I73" s="343">
        <v>1</v>
      </c>
    </row>
    <row r="74" spans="1:9" ht="15">
      <c r="A74" s="194">
        <v>1656</v>
      </c>
      <c r="B74" s="244" t="s">
        <v>194</v>
      </c>
      <c r="C74" s="277">
        <v>9</v>
      </c>
      <c r="D74" s="278">
        <v>5</v>
      </c>
      <c r="E74" s="343">
        <v>2.79</v>
      </c>
      <c r="F74" s="344">
        <v>2.76</v>
      </c>
      <c r="G74" s="344">
        <v>2.81</v>
      </c>
      <c r="H74" s="345">
        <v>2.53</v>
      </c>
      <c r="I74" s="343">
        <v>9</v>
      </c>
    </row>
    <row r="75" spans="1:9" ht="15">
      <c r="A75" s="196">
        <v>675</v>
      </c>
      <c r="B75" s="244" t="s">
        <v>195</v>
      </c>
      <c r="C75" s="277">
        <v>9</v>
      </c>
      <c r="D75" s="278">
        <v>1</v>
      </c>
      <c r="E75" s="343">
        <v>3.11</v>
      </c>
      <c r="F75" s="344">
        <v>2.91</v>
      </c>
      <c r="G75" s="344">
        <v>2.6</v>
      </c>
      <c r="H75" s="345">
        <v>2.74</v>
      </c>
      <c r="I75" s="343">
        <v>1</v>
      </c>
    </row>
    <row r="76" spans="1:9" ht="15">
      <c r="A76" s="194">
        <v>1658</v>
      </c>
      <c r="B76" s="244" t="s">
        <v>196</v>
      </c>
      <c r="C76" s="277">
        <v>1</v>
      </c>
      <c r="D76" s="278">
        <v>1</v>
      </c>
      <c r="E76" s="343">
        <v>2.56</v>
      </c>
      <c r="F76" s="344">
        <v>2.9</v>
      </c>
      <c r="G76" s="344">
        <v>2.37</v>
      </c>
      <c r="H76" s="345">
        <v>2.45</v>
      </c>
      <c r="I76" s="343">
        <v>1</v>
      </c>
    </row>
    <row r="77" spans="1:9" ht="15">
      <c r="A77" s="194">
        <v>1659</v>
      </c>
      <c r="B77" s="244" t="s">
        <v>197</v>
      </c>
      <c r="C77" s="277">
        <v>9</v>
      </c>
      <c r="D77" s="278">
        <v>1</v>
      </c>
      <c r="E77" s="343">
        <v>1.95</v>
      </c>
      <c r="F77" s="344">
        <v>2.45</v>
      </c>
      <c r="G77" s="344">
        <v>2.85</v>
      </c>
      <c r="H77" s="345">
        <v>3.03</v>
      </c>
      <c r="I77" s="343">
        <v>1</v>
      </c>
    </row>
    <row r="78" spans="1:9" ht="15">
      <c r="A78" s="194">
        <v>1660</v>
      </c>
      <c r="B78" s="244" t="s">
        <v>198</v>
      </c>
      <c r="C78" s="277">
        <v>1</v>
      </c>
      <c r="D78" s="278">
        <v>1</v>
      </c>
      <c r="E78" s="343">
        <v>2.88</v>
      </c>
      <c r="F78" s="344">
        <v>2.94</v>
      </c>
      <c r="G78" s="344">
        <v>2.4</v>
      </c>
      <c r="H78" s="345">
        <v>2.59</v>
      </c>
      <c r="I78" s="343">
        <v>2</v>
      </c>
    </row>
    <row r="79" spans="1:9" ht="15">
      <c r="A79" s="194">
        <v>1661</v>
      </c>
      <c r="B79" s="244" t="s">
        <v>199</v>
      </c>
      <c r="C79" s="277">
        <v>9</v>
      </c>
      <c r="D79" s="278">
        <v>5</v>
      </c>
      <c r="E79" s="343">
        <v>2.45</v>
      </c>
      <c r="F79" s="344">
        <v>2.21</v>
      </c>
      <c r="G79" s="344">
        <v>2.7</v>
      </c>
      <c r="H79" s="345">
        <v>3.33</v>
      </c>
      <c r="I79" s="343">
        <v>2</v>
      </c>
    </row>
    <row r="80" spans="1:9" ht="15">
      <c r="A80" s="194">
        <v>1662</v>
      </c>
      <c r="B80" s="244" t="s">
        <v>200</v>
      </c>
      <c r="C80" s="277">
        <v>1</v>
      </c>
      <c r="D80" s="278">
        <v>9</v>
      </c>
      <c r="E80" s="343">
        <v>2.44</v>
      </c>
      <c r="F80" s="344">
        <v>2.61</v>
      </c>
      <c r="G80" s="344">
        <v>2.69</v>
      </c>
      <c r="H80" s="345">
        <v>2.8</v>
      </c>
      <c r="I80" s="343">
        <v>1</v>
      </c>
    </row>
    <row r="81" spans="1:9" ht="15">
      <c r="A81" s="194">
        <v>1663</v>
      </c>
      <c r="B81" s="244" t="s">
        <v>201</v>
      </c>
      <c r="C81" s="277">
        <v>1</v>
      </c>
      <c r="D81" s="278">
        <v>3</v>
      </c>
      <c r="E81" s="343">
        <v>3.3</v>
      </c>
      <c r="F81" s="344">
        <v>2.89</v>
      </c>
      <c r="G81" s="344">
        <v>3.12</v>
      </c>
      <c r="H81" s="345">
        <v>3.61</v>
      </c>
      <c r="I81" s="343">
        <v>1</v>
      </c>
    </row>
    <row r="82" spans="1:9" ht="15">
      <c r="A82" s="194">
        <v>1665</v>
      </c>
      <c r="B82" s="244" t="s">
        <v>202</v>
      </c>
      <c r="C82" s="277">
        <v>1</v>
      </c>
      <c r="D82" s="278">
        <v>7</v>
      </c>
      <c r="E82" s="343">
        <v>2.92</v>
      </c>
      <c r="F82" s="344">
        <v>3.09</v>
      </c>
      <c r="G82" s="344">
        <v>2.91</v>
      </c>
      <c r="H82" s="345">
        <v>2.47</v>
      </c>
      <c r="I82" s="343">
        <v>2</v>
      </c>
    </row>
    <row r="83" spans="1:9" ht="15">
      <c r="A83" s="194">
        <v>1666</v>
      </c>
      <c r="B83" s="244" t="s">
        <v>203</v>
      </c>
      <c r="C83" s="277">
        <v>9</v>
      </c>
      <c r="D83" s="278">
        <v>1</v>
      </c>
      <c r="E83" s="343">
        <v>2.85</v>
      </c>
      <c r="F83" s="344">
        <v>2.63</v>
      </c>
      <c r="G83" s="344">
        <v>2.61</v>
      </c>
      <c r="H83" s="345">
        <v>2.52</v>
      </c>
      <c r="I83" s="343">
        <v>1</v>
      </c>
    </row>
    <row r="84" spans="1:9" ht="15">
      <c r="A84" s="194">
        <v>1667</v>
      </c>
      <c r="B84" s="244" t="s">
        <v>204</v>
      </c>
      <c r="C84" s="277">
        <v>1</v>
      </c>
      <c r="D84" s="278">
        <v>9</v>
      </c>
      <c r="E84" s="343">
        <v>2.93</v>
      </c>
      <c r="F84" s="344">
        <v>2.66</v>
      </c>
      <c r="G84" s="344">
        <v>2.88</v>
      </c>
      <c r="H84" s="345">
        <v>2.55</v>
      </c>
      <c r="I84" s="343">
        <v>1</v>
      </c>
    </row>
    <row r="85" spans="1:9" ht="15">
      <c r="A85" s="194">
        <v>1668</v>
      </c>
      <c r="B85" s="244" t="s">
        <v>205</v>
      </c>
      <c r="C85" s="277">
        <v>9</v>
      </c>
      <c r="D85" s="278">
        <v>5</v>
      </c>
      <c r="E85" s="343">
        <v>2.54</v>
      </c>
      <c r="F85" s="344">
        <v>2.52</v>
      </c>
      <c r="G85" s="344">
        <v>2.4</v>
      </c>
      <c r="H85" s="345">
        <v>2.36</v>
      </c>
      <c r="I85" s="343">
        <v>4</v>
      </c>
    </row>
    <row r="86" spans="1:9" ht="15">
      <c r="A86" s="194">
        <v>1669</v>
      </c>
      <c r="B86" s="244" t="s">
        <v>206</v>
      </c>
      <c r="C86" s="277">
        <v>1</v>
      </c>
      <c r="D86" s="278">
        <v>1</v>
      </c>
      <c r="E86" s="343">
        <v>1.88</v>
      </c>
      <c r="F86" s="344">
        <v>2.55</v>
      </c>
      <c r="G86" s="344">
        <v>2.36</v>
      </c>
      <c r="H86" s="345">
        <v>2.11</v>
      </c>
      <c r="I86" s="343">
        <v>1</v>
      </c>
    </row>
    <row r="87" spans="1:9" ht="15">
      <c r="A87" s="194">
        <v>1670</v>
      </c>
      <c r="B87" s="244" t="s">
        <v>207</v>
      </c>
      <c r="C87" s="277">
        <v>1</v>
      </c>
      <c r="D87" s="278">
        <v>7</v>
      </c>
      <c r="E87" s="343">
        <v>1.82</v>
      </c>
      <c r="F87" s="344">
        <v>2.43</v>
      </c>
      <c r="G87" s="344">
        <v>1.75</v>
      </c>
      <c r="H87" s="345">
        <v>1.96</v>
      </c>
      <c r="I87" s="343">
        <v>8</v>
      </c>
    </row>
    <row r="88" spans="1:9" ht="15">
      <c r="A88" s="194">
        <v>1671</v>
      </c>
      <c r="B88" s="244" t="s">
        <v>208</v>
      </c>
      <c r="C88" s="277">
        <v>1</v>
      </c>
      <c r="D88" s="278">
        <v>7</v>
      </c>
      <c r="E88" s="343">
        <v>2.93</v>
      </c>
      <c r="F88" s="344">
        <v>2.98</v>
      </c>
      <c r="G88" s="344">
        <v>3.04</v>
      </c>
      <c r="H88" s="345">
        <v>2.9</v>
      </c>
      <c r="I88" s="343">
        <v>1</v>
      </c>
    </row>
    <row r="89" spans="1:9" ht="15">
      <c r="A89" s="194">
        <v>1672</v>
      </c>
      <c r="B89" s="244" t="s">
        <v>209</v>
      </c>
      <c r="C89" s="277">
        <v>1</v>
      </c>
      <c r="D89" s="278">
        <v>1</v>
      </c>
      <c r="E89" s="343">
        <v>3.04</v>
      </c>
      <c r="F89" s="344">
        <v>2.27</v>
      </c>
      <c r="G89" s="344">
        <v>2.69</v>
      </c>
      <c r="H89" s="345">
        <v>3.24</v>
      </c>
      <c r="I89" s="343">
        <v>1</v>
      </c>
    </row>
    <row r="90" spans="1:9" ht="15">
      <c r="A90" s="194">
        <v>1673</v>
      </c>
      <c r="B90" s="244" t="s">
        <v>210</v>
      </c>
      <c r="C90" s="277">
        <v>9</v>
      </c>
      <c r="D90" s="278">
        <v>1</v>
      </c>
      <c r="E90" s="343">
        <v>2.18</v>
      </c>
      <c r="F90" s="344">
        <v>2.96</v>
      </c>
      <c r="G90" s="344">
        <v>2.74</v>
      </c>
      <c r="H90" s="345">
        <v>2.36</v>
      </c>
      <c r="I90" s="343">
        <v>1</v>
      </c>
    </row>
    <row r="91" spans="1:9" ht="15">
      <c r="A91" s="194">
        <v>1674</v>
      </c>
      <c r="B91" s="244" t="s">
        <v>211</v>
      </c>
      <c r="C91" s="277">
        <v>1</v>
      </c>
      <c r="D91" s="278">
        <v>5</v>
      </c>
      <c r="E91" s="343">
        <v>3.01</v>
      </c>
      <c r="F91" s="344">
        <v>2.33</v>
      </c>
      <c r="G91" s="344">
        <v>2.32</v>
      </c>
      <c r="H91" s="345">
        <v>2.5</v>
      </c>
      <c r="I91" s="343">
        <v>1</v>
      </c>
    </row>
    <row r="92" spans="1:9" ht="15">
      <c r="A92" s="194">
        <v>1676</v>
      </c>
      <c r="B92" s="244" t="s">
        <v>212</v>
      </c>
      <c r="C92" s="277">
        <v>9</v>
      </c>
      <c r="D92" s="278">
        <v>9</v>
      </c>
      <c r="E92" s="343">
        <v>2.8</v>
      </c>
      <c r="F92" s="344">
        <v>2.59</v>
      </c>
      <c r="G92" s="344">
        <v>2.55</v>
      </c>
      <c r="H92" s="345">
        <v>2.63</v>
      </c>
      <c r="I92" s="343">
        <v>1</v>
      </c>
    </row>
    <row r="93" spans="1:9" ht="15">
      <c r="A93" s="194">
        <v>1678</v>
      </c>
      <c r="B93" s="246" t="s">
        <v>213</v>
      </c>
      <c r="C93" s="277">
        <v>9</v>
      </c>
      <c r="D93" s="278">
        <v>3</v>
      </c>
      <c r="E93" s="343">
        <v>2.86</v>
      </c>
      <c r="F93" s="344">
        <v>3.05</v>
      </c>
      <c r="G93" s="344">
        <v>2.67</v>
      </c>
      <c r="H93" s="345">
        <v>2.66</v>
      </c>
      <c r="I93" s="343">
        <v>1</v>
      </c>
    </row>
    <row r="94" spans="1:9" ht="15">
      <c r="A94" s="194">
        <v>1679</v>
      </c>
      <c r="B94" s="244" t="s">
        <v>214</v>
      </c>
      <c r="C94" s="277">
        <v>1</v>
      </c>
      <c r="D94" s="278">
        <v>1</v>
      </c>
      <c r="E94" s="343">
        <v>2.13</v>
      </c>
      <c r="F94" s="344">
        <v>2.65</v>
      </c>
      <c r="G94" s="344">
        <v>2.17</v>
      </c>
      <c r="H94" s="345">
        <v>2.73</v>
      </c>
      <c r="I94" s="343">
        <v>1</v>
      </c>
    </row>
    <row r="95" spans="1:9" ht="15">
      <c r="A95" s="194">
        <v>1680</v>
      </c>
      <c r="B95" s="244" t="s">
        <v>215</v>
      </c>
      <c r="C95" s="277">
        <v>1</v>
      </c>
      <c r="D95" s="278">
        <v>5</v>
      </c>
      <c r="E95" s="343">
        <v>2.69</v>
      </c>
      <c r="F95" s="344">
        <v>2.82</v>
      </c>
      <c r="G95" s="344">
        <v>2.49</v>
      </c>
      <c r="H95" s="345">
        <v>2.92</v>
      </c>
      <c r="I95" s="343">
        <v>1</v>
      </c>
    </row>
    <row r="96" spans="1:9" ht="15">
      <c r="A96" s="194">
        <v>1681</v>
      </c>
      <c r="B96" s="244" t="s">
        <v>216</v>
      </c>
      <c r="C96" s="277">
        <v>1</v>
      </c>
      <c r="D96" s="278">
        <v>3</v>
      </c>
      <c r="E96" s="343">
        <v>2.26</v>
      </c>
      <c r="F96" s="344">
        <v>2.14</v>
      </c>
      <c r="G96" s="344">
        <v>2.54</v>
      </c>
      <c r="H96" s="345">
        <v>2.05</v>
      </c>
      <c r="I96" s="343">
        <v>1</v>
      </c>
    </row>
    <row r="97" spans="1:9" ht="15">
      <c r="A97" s="194">
        <v>1682</v>
      </c>
      <c r="B97" s="244" t="s">
        <v>217</v>
      </c>
      <c r="C97" s="277">
        <v>1</v>
      </c>
      <c r="D97" s="278">
        <v>3</v>
      </c>
      <c r="E97" s="343">
        <v>3.13</v>
      </c>
      <c r="F97" s="344">
        <v>2.89</v>
      </c>
      <c r="G97" s="344">
        <v>2.38</v>
      </c>
      <c r="H97" s="345">
        <v>2.9</v>
      </c>
      <c r="I97" s="343">
        <v>1</v>
      </c>
    </row>
    <row r="98" spans="1:9" ht="15">
      <c r="A98" s="194">
        <v>1684</v>
      </c>
      <c r="B98" s="244" t="s">
        <v>218</v>
      </c>
      <c r="C98" s="277">
        <v>1</v>
      </c>
      <c r="D98" s="278">
        <v>7</v>
      </c>
      <c r="E98" s="343">
        <v>1.84</v>
      </c>
      <c r="F98" s="344">
        <v>1.88</v>
      </c>
      <c r="G98" s="344">
        <v>2.65</v>
      </c>
      <c r="H98" s="345">
        <v>2.22</v>
      </c>
      <c r="I98" s="343">
        <v>1</v>
      </c>
    </row>
    <row r="99" spans="1:9" ht="15">
      <c r="A99" s="194">
        <v>1685</v>
      </c>
      <c r="B99" s="244" t="s">
        <v>219</v>
      </c>
      <c r="C99" s="277">
        <v>1</v>
      </c>
      <c r="D99" s="278">
        <v>3</v>
      </c>
      <c r="E99" s="343">
        <v>2.8</v>
      </c>
      <c r="F99" s="344">
        <v>2.74</v>
      </c>
      <c r="G99" s="344">
        <v>3.24</v>
      </c>
      <c r="H99" s="345">
        <v>2.91</v>
      </c>
      <c r="I99" s="343">
        <v>1</v>
      </c>
    </row>
    <row r="100" spans="1:9" ht="15">
      <c r="A100" s="194">
        <v>1686</v>
      </c>
      <c r="B100" s="244" t="s">
        <v>220</v>
      </c>
      <c r="C100" s="277">
        <v>9</v>
      </c>
      <c r="D100" s="278">
        <v>9</v>
      </c>
      <c r="E100" s="343">
        <v>2.12</v>
      </c>
      <c r="F100" s="344">
        <v>3.33</v>
      </c>
      <c r="G100" s="344">
        <v>3.19</v>
      </c>
      <c r="H100" s="345">
        <v>3.2</v>
      </c>
      <c r="I100" s="343">
        <v>1</v>
      </c>
    </row>
    <row r="101" spans="1:9" ht="15">
      <c r="A101" s="194">
        <v>1687</v>
      </c>
      <c r="B101" s="244" t="s">
        <v>221</v>
      </c>
      <c r="C101" s="277">
        <v>1</v>
      </c>
      <c r="D101" s="278">
        <v>5</v>
      </c>
      <c r="E101" s="343">
        <v>2.78</v>
      </c>
      <c r="F101" s="344">
        <v>2.86</v>
      </c>
      <c r="G101" s="344">
        <v>2.67</v>
      </c>
      <c r="H101" s="345">
        <v>2.52</v>
      </c>
      <c r="I101" s="343">
        <v>1</v>
      </c>
    </row>
    <row r="102" spans="1:9" ht="15">
      <c r="A102" s="194">
        <v>1688</v>
      </c>
      <c r="B102" s="244" t="s">
        <v>222</v>
      </c>
      <c r="C102" s="277">
        <v>1</v>
      </c>
      <c r="D102" s="278">
        <v>7</v>
      </c>
      <c r="E102" s="343">
        <v>2.84</v>
      </c>
      <c r="F102" s="344">
        <v>2.83</v>
      </c>
      <c r="G102" s="344">
        <v>2.56</v>
      </c>
      <c r="H102" s="345">
        <v>2.91</v>
      </c>
      <c r="I102" s="343">
        <v>1</v>
      </c>
    </row>
    <row r="103" spans="1:9" ht="15">
      <c r="A103" s="197">
        <v>1689</v>
      </c>
      <c r="B103" s="243" t="s">
        <v>223</v>
      </c>
      <c r="C103" s="277">
        <v>1</v>
      </c>
      <c r="D103" s="278">
        <v>9</v>
      </c>
      <c r="E103" s="343">
        <v>2.17</v>
      </c>
      <c r="F103" s="344">
        <v>2.31</v>
      </c>
      <c r="G103" s="344">
        <v>1.94</v>
      </c>
      <c r="H103" s="345">
        <v>2.07</v>
      </c>
      <c r="I103" s="343">
        <v>1</v>
      </c>
    </row>
    <row r="104" spans="1:9" ht="15">
      <c r="A104" s="197">
        <v>1690</v>
      </c>
      <c r="B104" s="243" t="s">
        <v>224</v>
      </c>
      <c r="C104" s="277">
        <v>1</v>
      </c>
      <c r="D104" s="278">
        <v>5</v>
      </c>
      <c r="E104" s="343">
        <v>2.52</v>
      </c>
      <c r="F104" s="344">
        <v>2.78</v>
      </c>
      <c r="G104" s="344">
        <v>2.61</v>
      </c>
      <c r="H104" s="345">
        <v>2.82</v>
      </c>
      <c r="I104" s="343">
        <v>1</v>
      </c>
    </row>
    <row r="105" spans="1:9" ht="15">
      <c r="A105" s="198">
        <v>1691</v>
      </c>
      <c r="B105" s="243" t="s">
        <v>225</v>
      </c>
      <c r="C105" s="277">
        <v>1</v>
      </c>
      <c r="D105" s="278">
        <v>5</v>
      </c>
      <c r="E105" s="343">
        <v>2.89</v>
      </c>
      <c r="F105" s="344">
        <v>2.76</v>
      </c>
      <c r="G105" s="344">
        <v>2.55</v>
      </c>
      <c r="H105" s="345">
        <v>2.56</v>
      </c>
      <c r="I105" s="343">
        <v>1</v>
      </c>
    </row>
    <row r="106" spans="1:9" ht="15">
      <c r="A106" s="198">
        <v>1692</v>
      </c>
      <c r="B106" s="243" t="s">
        <v>226</v>
      </c>
      <c r="C106" s="277">
        <v>1</v>
      </c>
      <c r="D106" s="278">
        <v>1</v>
      </c>
      <c r="E106" s="343">
        <v>2.82</v>
      </c>
      <c r="F106" s="344">
        <v>2.68</v>
      </c>
      <c r="G106" s="344">
        <v>3.13</v>
      </c>
      <c r="H106" s="345">
        <v>3.15</v>
      </c>
      <c r="I106" s="343">
        <v>1</v>
      </c>
    </row>
    <row r="107" spans="1:9" ht="15">
      <c r="A107" s="198">
        <v>1693</v>
      </c>
      <c r="B107" s="243" t="s">
        <v>227</v>
      </c>
      <c r="C107" s="277">
        <v>1</v>
      </c>
      <c r="D107" s="278">
        <v>9</v>
      </c>
      <c r="E107" s="343">
        <v>4.01</v>
      </c>
      <c r="F107" s="344">
        <v>3.85</v>
      </c>
      <c r="G107" s="344">
        <v>3.1</v>
      </c>
      <c r="H107" s="345">
        <v>3.4</v>
      </c>
      <c r="I107" s="343">
        <v>1</v>
      </c>
    </row>
    <row r="108" spans="1:9" ht="15">
      <c r="A108" s="198">
        <v>1694</v>
      </c>
      <c r="B108" s="243" t="s">
        <v>228</v>
      </c>
      <c r="C108" s="277">
        <v>9</v>
      </c>
      <c r="D108" s="278">
        <v>7</v>
      </c>
      <c r="E108" s="343">
        <v>2.67</v>
      </c>
      <c r="F108" s="344">
        <v>3.11</v>
      </c>
      <c r="G108" s="344">
        <v>2.61</v>
      </c>
      <c r="H108" s="345">
        <v>2.74</v>
      </c>
      <c r="I108" s="343">
        <v>9</v>
      </c>
    </row>
    <row r="109" spans="1:9" ht="15">
      <c r="A109" s="198">
        <v>1695</v>
      </c>
      <c r="B109" s="243" t="s">
        <v>229</v>
      </c>
      <c r="C109" s="277">
        <v>1</v>
      </c>
      <c r="D109" s="278">
        <v>7</v>
      </c>
      <c r="E109" s="343">
        <v>2.37</v>
      </c>
      <c r="F109" s="344">
        <v>2.29</v>
      </c>
      <c r="G109" s="344">
        <v>2.44</v>
      </c>
      <c r="H109" s="345">
        <v>2.59</v>
      </c>
      <c r="I109" s="343">
        <v>1</v>
      </c>
    </row>
    <row r="110" spans="1:9" ht="15">
      <c r="A110" s="198">
        <v>1696</v>
      </c>
      <c r="B110" s="243" t="s">
        <v>230</v>
      </c>
      <c r="C110" s="277">
        <v>1</v>
      </c>
      <c r="D110" s="278">
        <v>1</v>
      </c>
      <c r="E110" s="343">
        <v>2.52</v>
      </c>
      <c r="F110" s="344">
        <v>2.07</v>
      </c>
      <c r="G110" s="344">
        <v>2.35</v>
      </c>
      <c r="H110" s="345">
        <v>2.05</v>
      </c>
      <c r="I110" s="343">
        <v>1</v>
      </c>
    </row>
    <row r="111" spans="1:9" ht="15">
      <c r="A111" s="198">
        <v>1697</v>
      </c>
      <c r="B111" s="243" t="s">
        <v>231</v>
      </c>
      <c r="C111" s="277">
        <v>9</v>
      </c>
      <c r="D111" s="278">
        <v>1</v>
      </c>
      <c r="E111" s="343">
        <v>2.23</v>
      </c>
      <c r="F111" s="344">
        <v>3.07</v>
      </c>
      <c r="G111" s="344">
        <v>2.49</v>
      </c>
      <c r="H111" s="345">
        <v>3.5</v>
      </c>
      <c r="I111" s="343">
        <v>1</v>
      </c>
    </row>
    <row r="112" spans="1:9" ht="15">
      <c r="A112" s="198">
        <v>1698</v>
      </c>
      <c r="B112" s="243" t="s">
        <v>232</v>
      </c>
      <c r="C112" s="277">
        <v>9</v>
      </c>
      <c r="D112" s="278">
        <v>1</v>
      </c>
      <c r="E112" s="343">
        <v>2.51</v>
      </c>
      <c r="F112" s="344">
        <v>2.27</v>
      </c>
      <c r="G112" s="344">
        <v>2.26</v>
      </c>
      <c r="H112" s="345">
        <v>2.82</v>
      </c>
      <c r="I112" s="343">
        <v>1</v>
      </c>
    </row>
    <row r="113" spans="1:9" ht="15">
      <c r="A113" s="197">
        <v>1699</v>
      </c>
      <c r="B113" s="243" t="s">
        <v>233</v>
      </c>
      <c r="C113" s="277">
        <v>1</v>
      </c>
      <c r="D113" s="278">
        <v>9</v>
      </c>
      <c r="E113" s="343">
        <v>2.99</v>
      </c>
      <c r="F113" s="344">
        <v>2.46</v>
      </c>
      <c r="G113" s="344">
        <v>2.81</v>
      </c>
      <c r="H113" s="345">
        <v>2.86</v>
      </c>
      <c r="I113" s="343">
        <v>2</v>
      </c>
    </row>
    <row r="114" spans="1:9" ht="15">
      <c r="A114" s="197">
        <v>1700</v>
      </c>
      <c r="B114" s="243" t="s">
        <v>235</v>
      </c>
      <c r="C114" s="277">
        <v>9</v>
      </c>
      <c r="D114" s="278">
        <v>1</v>
      </c>
      <c r="E114" s="343">
        <v>2.89</v>
      </c>
      <c r="F114" s="344">
        <v>2.34</v>
      </c>
      <c r="G114" s="344">
        <v>2.8</v>
      </c>
      <c r="H114" s="345">
        <v>2.86</v>
      </c>
      <c r="I114" s="343">
        <v>1</v>
      </c>
    </row>
    <row r="115" spans="1:9" ht="15">
      <c r="A115" s="197">
        <v>1701</v>
      </c>
      <c r="B115" s="243" t="s">
        <v>236</v>
      </c>
      <c r="C115" s="277">
        <v>1</v>
      </c>
      <c r="D115" s="278">
        <v>7</v>
      </c>
      <c r="E115" s="343">
        <v>3.14</v>
      </c>
      <c r="F115" s="344">
        <v>2.51</v>
      </c>
      <c r="G115" s="344">
        <v>3.12</v>
      </c>
      <c r="H115" s="345">
        <v>2.48</v>
      </c>
      <c r="I115" s="343">
        <v>4</v>
      </c>
    </row>
    <row r="116" spans="1:9" ht="15">
      <c r="A116" s="197">
        <v>1702</v>
      </c>
      <c r="B116" s="243" t="s">
        <v>237</v>
      </c>
      <c r="C116" s="277">
        <v>1</v>
      </c>
      <c r="D116" s="278">
        <v>7</v>
      </c>
      <c r="E116" s="343">
        <v>3.27</v>
      </c>
      <c r="F116" s="344">
        <v>3.22</v>
      </c>
      <c r="G116" s="344">
        <v>2.98</v>
      </c>
      <c r="H116" s="345">
        <v>3.7</v>
      </c>
      <c r="I116" s="343">
        <v>3</v>
      </c>
    </row>
    <row r="117" spans="1:9" ht="15">
      <c r="A117" s="197">
        <v>1703</v>
      </c>
      <c r="B117" s="243" t="s">
        <v>238</v>
      </c>
      <c r="C117" s="277">
        <v>9</v>
      </c>
      <c r="D117" s="278">
        <v>1</v>
      </c>
      <c r="E117" s="343">
        <v>2.22</v>
      </c>
      <c r="F117" s="344">
        <v>2.35</v>
      </c>
      <c r="G117" s="344">
        <v>2.38</v>
      </c>
      <c r="H117" s="345">
        <v>2.02</v>
      </c>
      <c r="I117" s="343">
        <v>1</v>
      </c>
    </row>
    <row r="118" spans="1:9" ht="15">
      <c r="A118" s="198">
        <v>1704</v>
      </c>
      <c r="B118" s="243" t="s">
        <v>239</v>
      </c>
      <c r="C118" s="277">
        <v>1</v>
      </c>
      <c r="D118" s="278">
        <v>9</v>
      </c>
      <c r="E118" s="343">
        <v>2.99</v>
      </c>
      <c r="F118" s="344">
        <v>3</v>
      </c>
      <c r="G118" s="344">
        <v>2.98</v>
      </c>
      <c r="H118" s="345">
        <v>3.42</v>
      </c>
      <c r="I118" s="343">
        <v>2</v>
      </c>
    </row>
    <row r="119" spans="1:9" ht="15">
      <c r="A119" s="198">
        <v>1705</v>
      </c>
      <c r="B119" s="243" t="s">
        <v>240</v>
      </c>
      <c r="C119" s="277">
        <v>1</v>
      </c>
      <c r="D119" s="278">
        <v>3</v>
      </c>
      <c r="E119" s="343">
        <v>2.8</v>
      </c>
      <c r="F119" s="344">
        <v>3.26</v>
      </c>
      <c r="G119" s="344">
        <v>2.43</v>
      </c>
      <c r="H119" s="345">
        <v>3.12</v>
      </c>
      <c r="I119" s="343">
        <v>1</v>
      </c>
    </row>
    <row r="120" spans="1:9" ht="15">
      <c r="A120" s="198">
        <v>1706</v>
      </c>
      <c r="B120" s="243" t="s">
        <v>241</v>
      </c>
      <c r="C120" s="277">
        <v>1</v>
      </c>
      <c r="D120" s="278">
        <v>7</v>
      </c>
      <c r="E120" s="343">
        <v>2.57</v>
      </c>
      <c r="F120" s="344">
        <v>2.86</v>
      </c>
      <c r="G120" s="344">
        <v>2.32</v>
      </c>
      <c r="H120" s="345">
        <v>2.46</v>
      </c>
      <c r="I120" s="343">
        <v>1</v>
      </c>
    </row>
    <row r="121" spans="1:9" ht="15">
      <c r="A121" s="198">
        <v>1707</v>
      </c>
      <c r="B121" s="243" t="s">
        <v>242</v>
      </c>
      <c r="C121" s="277">
        <v>1</v>
      </c>
      <c r="D121" s="278">
        <v>7</v>
      </c>
      <c r="E121" s="343">
        <v>2.91</v>
      </c>
      <c r="F121" s="344">
        <v>2.27</v>
      </c>
      <c r="G121" s="344">
        <v>2.81</v>
      </c>
      <c r="H121" s="345">
        <v>2.24</v>
      </c>
      <c r="I121" s="343">
        <v>1</v>
      </c>
    </row>
    <row r="122" spans="1:9" ht="15">
      <c r="A122" s="198">
        <v>1708</v>
      </c>
      <c r="B122" s="243" t="s">
        <v>243</v>
      </c>
      <c r="C122" s="277">
        <v>1</v>
      </c>
      <c r="D122" s="278">
        <v>9</v>
      </c>
      <c r="E122" s="343">
        <v>3.45</v>
      </c>
      <c r="F122" s="344">
        <v>3.61</v>
      </c>
      <c r="G122" s="344">
        <v>3.09</v>
      </c>
      <c r="H122" s="345">
        <v>2.89</v>
      </c>
      <c r="I122" s="343">
        <v>1</v>
      </c>
    </row>
  </sheetData>
  <sheetProtection/>
  <mergeCells count="5">
    <mergeCell ref="E2:H2"/>
    <mergeCell ref="Q2:R2"/>
    <mergeCell ref="M2:N2"/>
    <mergeCell ref="K2:L2"/>
    <mergeCell ref="O2:P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14"/>
  <sheetViews>
    <sheetView zoomScale="40" zoomScaleNormal="40" zoomScalePageLayoutView="0" workbookViewId="0" topLeftCell="A1">
      <selection activeCell="I106" sqref="I106"/>
    </sheetView>
  </sheetViews>
  <sheetFormatPr defaultColWidth="10.28125" defaultRowHeight="12.75"/>
  <cols>
    <col min="1" max="1" width="10.28125" style="217" customWidth="1"/>
    <col min="2" max="2" width="36.8515625" style="217" bestFit="1" customWidth="1"/>
    <col min="3" max="3" width="10.28125" style="217" customWidth="1"/>
    <col min="4" max="4" width="27.8515625" style="217" bestFit="1" customWidth="1"/>
    <col min="5" max="6" width="27.8515625" style="217" customWidth="1"/>
    <col min="7" max="7" width="29.57421875" style="346" bestFit="1" customWidth="1"/>
    <col min="8" max="9" width="29.57421875" style="217" customWidth="1"/>
    <col min="10" max="10" width="27.140625" style="217" bestFit="1" customWidth="1"/>
    <col min="11" max="11" width="56.421875" style="217" customWidth="1"/>
    <col min="12" max="12" width="20.57421875" style="217" bestFit="1" customWidth="1"/>
    <col min="13" max="14" width="20.57421875" style="217" customWidth="1"/>
    <col min="15" max="15" width="31.140625" style="217" bestFit="1" customWidth="1"/>
    <col min="16" max="16" width="31.140625" style="217" customWidth="1"/>
    <col min="17" max="17" width="43.421875" style="217" bestFit="1" customWidth="1"/>
    <col min="18" max="18" width="29.57421875" style="217" bestFit="1" customWidth="1"/>
    <col min="19" max="20" width="29.57421875" style="217" customWidth="1"/>
    <col min="21" max="21" width="18.140625" style="217" bestFit="1" customWidth="1"/>
    <col min="22" max="16384" width="10.28125" style="217" customWidth="1"/>
  </cols>
  <sheetData>
    <row r="1" spans="2:21" ht="15.75">
      <c r="B1" s="34" t="s">
        <v>65</v>
      </c>
      <c r="C1" s="347"/>
      <c r="D1" s="35" t="s">
        <v>66</v>
      </c>
      <c r="E1" s="453" t="s">
        <v>67</v>
      </c>
      <c r="F1" s="420"/>
      <c r="G1" s="454"/>
      <c r="H1" s="453" t="s">
        <v>68</v>
      </c>
      <c r="I1" s="420"/>
      <c r="J1" s="454"/>
      <c r="K1" s="35"/>
      <c r="L1" s="35" t="s">
        <v>69</v>
      </c>
      <c r="M1" s="35"/>
      <c r="N1" s="35"/>
      <c r="O1" s="35" t="s">
        <v>70</v>
      </c>
      <c r="P1" s="35"/>
      <c r="Q1" s="35"/>
      <c r="R1" s="35" t="s">
        <v>71</v>
      </c>
      <c r="S1" s="348"/>
      <c r="T1" s="348"/>
      <c r="U1" s="36" t="s">
        <v>72</v>
      </c>
    </row>
    <row r="2" spans="5:21" ht="15">
      <c r="E2" s="217">
        <v>130</v>
      </c>
      <c r="F2" s="217" t="s">
        <v>290</v>
      </c>
      <c r="G2" s="258">
        <f>COUNTIF('Data matrix'!$E$4:$E$123,"&lt;="&amp;E2)-COUNTIF('Data matrix'!$E$4:$E$123,"&lt;"&amp;E3)</f>
        <v>2</v>
      </c>
      <c r="H2" s="217">
        <v>160</v>
      </c>
      <c r="I2" s="217" t="s">
        <v>291</v>
      </c>
      <c r="J2" s="258">
        <f>COUNTIF('Data matrix'!$F$4:$F$123,"&lt;="&amp;H2)-COUNTIF('Data matrix'!$F$4:$F$123,"&lt;"&amp;H3)</f>
        <v>10</v>
      </c>
      <c r="N2" s="217" t="s">
        <v>292</v>
      </c>
      <c r="O2" s="258">
        <f>COUNTIF('Data matrix'!$H$4:$H$123,"=1")</f>
        <v>0</v>
      </c>
      <c r="Q2" s="217" t="s">
        <v>293</v>
      </c>
      <c r="R2" s="258">
        <f>COUNTIF('Data matrix'!$I$4:$I$123,"=1")</f>
        <v>34</v>
      </c>
      <c r="T2" s="217" t="s">
        <v>294</v>
      </c>
      <c r="U2" s="258">
        <f>COUNTIF('Data matrix'!$J$4:$J$123,"=1")</f>
        <v>1</v>
      </c>
    </row>
    <row r="3" spans="5:21" ht="15">
      <c r="E3" s="217">
        <f>E2-5</f>
        <v>125</v>
      </c>
      <c r="F3" s="217" t="s">
        <v>295</v>
      </c>
      <c r="G3" s="258">
        <f>COUNTIF('Data matrix'!E5:E124,"&lt;="&amp;E3)-COUNTIF('Data matrix'!E5:E124,"&lt;"&amp;E4)</f>
        <v>0</v>
      </c>
      <c r="H3" s="217">
        <f>H2-5</f>
        <v>155</v>
      </c>
      <c r="I3" s="217" t="s">
        <v>296</v>
      </c>
      <c r="J3" s="258">
        <f>COUNTIF('Data matrix'!$F$4:$F$123,"&lt;="&amp;H3)-COUNTIF('Data matrix'!$F$4:$F$123,"&lt;"&amp;H4)</f>
        <v>19</v>
      </c>
      <c r="N3" s="217" t="s">
        <v>297</v>
      </c>
      <c r="O3" s="258">
        <f>COUNTIF('Data matrix'!$H$4:$H$123,"=3")</f>
        <v>0</v>
      </c>
      <c r="Q3" s="217" t="s">
        <v>298</v>
      </c>
      <c r="R3" s="258">
        <f>COUNTIF('Data matrix'!$I$4:$I$123,"=2")</f>
        <v>14</v>
      </c>
      <c r="T3" s="217" t="s">
        <v>299</v>
      </c>
      <c r="U3" s="258">
        <f>COUNTIF('Data matrix'!$J$4:$J$123,"=2")</f>
        <v>76</v>
      </c>
    </row>
    <row r="4" spans="5:21" ht="15">
      <c r="E4" s="217">
        <f aca="true" t="shared" si="0" ref="E4:E14">E3-5</f>
        <v>120</v>
      </c>
      <c r="F4" s="217" t="s">
        <v>300</v>
      </c>
      <c r="G4" s="258">
        <f>COUNTIF('Data matrix'!E6:E125,"&lt;="&amp;E4)-COUNTIF('Data matrix'!E6:E125,"&lt;"&amp;E5)</f>
        <v>2</v>
      </c>
      <c r="H4" s="217">
        <f aca="true" t="shared" si="1" ref="H4:H11">H3-5</f>
        <v>150</v>
      </c>
      <c r="I4" s="217" t="s">
        <v>301</v>
      </c>
      <c r="J4" s="258">
        <f>COUNTIF('Data matrix'!$F$4:$F$123,"&lt;="&amp;H4)-COUNTIF('Data matrix'!$F$4:$F$123,"&lt;"&amp;H5)</f>
        <v>18</v>
      </c>
      <c r="N4" s="217" t="s">
        <v>278</v>
      </c>
      <c r="O4" s="258">
        <f>COUNTIF('Data matrix'!$H$4:$H$123,"=5")</f>
        <v>0</v>
      </c>
      <c r="Q4" s="217" t="s">
        <v>302</v>
      </c>
      <c r="R4" s="258">
        <f>COUNTIF('Data matrix'!$I$4:$I$123,"=3")</f>
        <v>5</v>
      </c>
      <c r="T4" s="217" t="s">
        <v>297</v>
      </c>
      <c r="U4" s="258">
        <f>COUNTIF('Data matrix'!$J$4:$J$123,"=3")</f>
        <v>12</v>
      </c>
    </row>
    <row r="5" spans="5:21" ht="15">
      <c r="E5" s="217">
        <f t="shared" si="0"/>
        <v>115</v>
      </c>
      <c r="F5" s="217" t="s">
        <v>303</v>
      </c>
      <c r="G5" s="258">
        <f>COUNTIF('Data matrix'!E7:E126,"&lt;="&amp;E5)-COUNTIF('Data matrix'!E7:E126,"&lt;"&amp;E6)</f>
        <v>2</v>
      </c>
      <c r="H5" s="217">
        <f t="shared" si="1"/>
        <v>145</v>
      </c>
      <c r="I5" s="217" t="s">
        <v>304</v>
      </c>
      <c r="J5" s="258">
        <f>COUNTIF('Data matrix'!$F$4:$F$123,"&lt;="&amp;H5)-COUNTIF('Data matrix'!$F$4:$F$123,"&lt;"&amp;H6)</f>
        <v>21</v>
      </c>
      <c r="N5" s="217" t="s">
        <v>305</v>
      </c>
      <c r="O5" s="258">
        <f>COUNTIF('Data matrix'!$H$4:$H$123,"=6")</f>
        <v>1</v>
      </c>
      <c r="Q5" s="217" t="s">
        <v>306</v>
      </c>
      <c r="R5" s="258">
        <f>COUNTIF('Data matrix'!$I$4:$I$123,"=4")</f>
        <v>35</v>
      </c>
      <c r="T5" s="217" t="s">
        <v>307</v>
      </c>
      <c r="U5" s="258">
        <f>COUNTIF('Data matrix'!$J$4:$J$123,"=4")</f>
        <v>14</v>
      </c>
    </row>
    <row r="6" spans="5:21" ht="15">
      <c r="E6" s="217">
        <f t="shared" si="0"/>
        <v>110</v>
      </c>
      <c r="F6" s="217" t="s">
        <v>308</v>
      </c>
      <c r="G6" s="258">
        <f>COUNTIF('Data matrix'!E8:E127,"&lt;="&amp;E6)-COUNTIF('Data matrix'!E8:E127,"&lt;"&amp;E7)</f>
        <v>10</v>
      </c>
      <c r="H6" s="217">
        <f t="shared" si="1"/>
        <v>140</v>
      </c>
      <c r="I6" s="217" t="s">
        <v>309</v>
      </c>
      <c r="J6" s="258">
        <f>COUNTIF('Data matrix'!$F$4:$F$123,"&lt;="&amp;H6)-COUNTIF('Data matrix'!$F$4:$F$123,"&lt;"&amp;H7)</f>
        <v>14</v>
      </c>
      <c r="N6" s="217" t="s">
        <v>310</v>
      </c>
      <c r="O6" s="258">
        <f>COUNTIF('Data matrix'!$H$4:$H$123,"=7")</f>
        <v>1</v>
      </c>
      <c r="Q6" s="217" t="s">
        <v>311</v>
      </c>
      <c r="R6" s="258">
        <f>COUNTIF('Data matrix'!$I$4:$I$123,"=5")</f>
        <v>1</v>
      </c>
      <c r="T6" s="217" t="s">
        <v>278</v>
      </c>
      <c r="U6" s="258">
        <f>COUNTIF('Data matrix'!$J$4:$J$123,"=5")</f>
        <v>4</v>
      </c>
    </row>
    <row r="7" spans="5:21" ht="15">
      <c r="E7" s="217">
        <f t="shared" si="0"/>
        <v>105</v>
      </c>
      <c r="F7" s="217" t="s">
        <v>312</v>
      </c>
      <c r="G7" s="258">
        <f>COUNTIF('Data matrix'!E9:E128,"&lt;="&amp;E7)-COUNTIF('Data matrix'!E9:E128,"&lt;"&amp;E8)</f>
        <v>18</v>
      </c>
      <c r="H7" s="217">
        <f t="shared" si="1"/>
        <v>135</v>
      </c>
      <c r="I7" s="217" t="s">
        <v>313</v>
      </c>
      <c r="J7" s="258">
        <f>COUNTIF('Data matrix'!$F$4:$F$123,"&lt;="&amp;H7)-COUNTIF('Data matrix'!$F$4:$F$123,"&lt;"&amp;H8)</f>
        <v>4</v>
      </c>
      <c r="N7" s="217" t="s">
        <v>314</v>
      </c>
      <c r="O7" s="258">
        <f>COUNTIF('Data matrix'!$H$4:$H$123,"=8")</f>
        <v>1</v>
      </c>
      <c r="Q7" s="217" t="s">
        <v>315</v>
      </c>
      <c r="R7" s="258">
        <f>COUNTIF('Data matrix'!$I$4:$I$123,"=6")</f>
        <v>13</v>
      </c>
      <c r="T7" s="217" t="s">
        <v>305</v>
      </c>
      <c r="U7" s="258">
        <f>COUNTIF('Data matrix'!$J$4:$J$123,"=6")</f>
        <v>12</v>
      </c>
    </row>
    <row r="8" spans="5:21" ht="15">
      <c r="E8" s="217">
        <f t="shared" si="0"/>
        <v>100</v>
      </c>
      <c r="F8" s="217" t="s">
        <v>316</v>
      </c>
      <c r="G8" s="258">
        <f>COUNTIF('Data matrix'!E10:E129,"&lt;="&amp;E8)-COUNTIF('Data matrix'!E10:E129,"&lt;"&amp;E9)</f>
        <v>21</v>
      </c>
      <c r="H8" s="217">
        <f t="shared" si="1"/>
        <v>130</v>
      </c>
      <c r="I8" s="217" t="s">
        <v>290</v>
      </c>
      <c r="J8" s="258">
        <f>COUNTIF('Data matrix'!$F$4:$F$123,"&lt;="&amp;H8)-COUNTIF('Data matrix'!$F$4:$F$123,"&lt;"&amp;H9)</f>
        <v>8</v>
      </c>
      <c r="N8" s="217" t="s">
        <v>317</v>
      </c>
      <c r="O8" s="258">
        <f>COUNTIF('Data matrix'!$H$4:$H$123,"=9")</f>
        <v>116</v>
      </c>
      <c r="Q8" s="217" t="s">
        <v>318</v>
      </c>
      <c r="R8" s="258">
        <f>COUNTIF('Data matrix'!$I$4:$I$123,"=7")</f>
        <v>14</v>
      </c>
      <c r="T8" s="217" t="s">
        <v>310</v>
      </c>
      <c r="U8" s="258">
        <f>COUNTIF('Data matrix'!$J$4:$J$123,"=7")</f>
        <v>0</v>
      </c>
    </row>
    <row r="9" spans="5:21" ht="15">
      <c r="E9" s="217">
        <f t="shared" si="0"/>
        <v>95</v>
      </c>
      <c r="F9" s="217" t="s">
        <v>319</v>
      </c>
      <c r="G9" s="258">
        <f>COUNTIF('Data matrix'!E11:E130,"&lt;="&amp;E9)-COUNTIF('Data matrix'!E11:E130,"&lt;"&amp;E10)</f>
        <v>42</v>
      </c>
      <c r="H9" s="217">
        <f t="shared" si="1"/>
        <v>125</v>
      </c>
      <c r="I9" s="217" t="s">
        <v>295</v>
      </c>
      <c r="J9" s="258">
        <f>COUNTIF('Data matrix'!$F$4:$F$123,"&lt;="&amp;H9)-COUNTIF('Data matrix'!$F$4:$F$123,"&lt;"&amp;H10)</f>
        <v>31</v>
      </c>
      <c r="Q9" s="217" t="s">
        <v>320</v>
      </c>
      <c r="R9" s="258">
        <f>COUNTIF('Data matrix'!$I$4:$I$123,"=8")</f>
        <v>3</v>
      </c>
      <c r="T9" s="217" t="s">
        <v>314</v>
      </c>
      <c r="U9" s="258">
        <f>COUNTIF('Data matrix'!$J$4:$J$123,"=8")</f>
        <v>0</v>
      </c>
    </row>
    <row r="10" spans="5:21" ht="15">
      <c r="E10" s="217">
        <f t="shared" si="0"/>
        <v>90</v>
      </c>
      <c r="F10" s="217" t="s">
        <v>321</v>
      </c>
      <c r="G10" s="258">
        <f>COUNTIF('Data matrix'!E12:E131,"&lt;="&amp;E10)-COUNTIF('Data matrix'!E12:E131,"&lt;"&amp;E11)</f>
        <v>29</v>
      </c>
      <c r="H10" s="217">
        <f t="shared" si="1"/>
        <v>120</v>
      </c>
      <c r="I10" s="217" t="s">
        <v>300</v>
      </c>
      <c r="J10" s="258">
        <f>COUNTIF('Data matrix'!$F$4:$F$123,"&lt;="&amp;H10)-COUNTIF('Data matrix'!$F$4:$F$123,"&lt;"&amp;H11)</f>
        <v>2</v>
      </c>
      <c r="Q10" s="217" t="s">
        <v>322</v>
      </c>
      <c r="R10" s="258">
        <f>COUNTIF('Data matrix'!$I$4:$I$123,"=9")</f>
        <v>0</v>
      </c>
      <c r="T10" s="217" t="s">
        <v>317</v>
      </c>
      <c r="U10" s="258">
        <f>COUNTIF('Data matrix'!$J$4:$J$123,"=9")</f>
        <v>0</v>
      </c>
    </row>
    <row r="11" spans="5:18" ht="15">
      <c r="E11" s="217">
        <f t="shared" si="0"/>
        <v>85</v>
      </c>
      <c r="F11" s="217" t="s">
        <v>323</v>
      </c>
      <c r="G11" s="258">
        <f>COUNTIF('Data matrix'!E13:E132,"&lt;="&amp;E11)-COUNTIF('Data matrix'!E13:E132,"&lt;"&amp;E12)</f>
        <v>11</v>
      </c>
      <c r="H11" s="217">
        <f t="shared" si="1"/>
        <v>115</v>
      </c>
      <c r="J11" s="258">
        <f>COUNTIF('Data matrix'!$F$4:$F$123,"&lt;="&amp;H11)-COUNTIF('Data matrix'!$F$4:$F$123,"&lt;"&amp;H12)</f>
        <v>0</v>
      </c>
      <c r="R11" s="346"/>
    </row>
    <row r="12" spans="5:7" ht="15">
      <c r="E12" s="217">
        <f t="shared" si="0"/>
        <v>80</v>
      </c>
      <c r="F12" s="217" t="s">
        <v>324</v>
      </c>
      <c r="G12" s="258">
        <f>COUNTIF('Data matrix'!E14:E133,"&lt;="&amp;E12)-COUNTIF('Data matrix'!E14:E133,"&lt;"&amp;E13)</f>
        <v>2</v>
      </c>
    </row>
    <row r="13" spans="5:7" ht="15">
      <c r="E13" s="217">
        <f t="shared" si="0"/>
        <v>75</v>
      </c>
      <c r="F13" s="217" t="s">
        <v>325</v>
      </c>
      <c r="G13" s="258">
        <f>COUNTIF('Data matrix'!E15:E134,"&lt;="&amp;E13)-COUNTIF('Data matrix'!E15:E134,"&lt;"&amp;E14)</f>
        <v>0</v>
      </c>
    </row>
    <row r="14" spans="5:7" ht="15">
      <c r="E14" s="217">
        <f t="shared" si="0"/>
        <v>70</v>
      </c>
      <c r="G14" s="258">
        <f>COUNTIF('Data matrix'!E16:E135,"&lt;="&amp;E14)-COUNTIF('Data matrix'!E16:E135,"&lt;"&amp;E15)</f>
        <v>0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9"/>
  <sheetViews>
    <sheetView zoomScale="70" zoomScaleNormal="70" zoomScalePageLayoutView="0" workbookViewId="0" topLeftCell="A16">
      <selection activeCell="U53" sqref="U53"/>
    </sheetView>
  </sheetViews>
  <sheetFormatPr defaultColWidth="10.28125" defaultRowHeight="12.75"/>
  <cols>
    <col min="1" max="1" width="10.28125" style="217" customWidth="1"/>
    <col min="2" max="2" width="20.140625" style="217" bestFit="1" customWidth="1"/>
    <col min="3" max="3" width="10.28125" style="217" customWidth="1"/>
    <col min="4" max="4" width="14.421875" style="217" bestFit="1" customWidth="1"/>
    <col min="5" max="5" width="26.28125" style="217" bestFit="1" customWidth="1"/>
    <col min="6" max="6" width="19.57421875" style="217" customWidth="1"/>
    <col min="7" max="7" width="24.7109375" style="217" bestFit="1" customWidth="1"/>
    <col min="8" max="8" width="16.8515625" style="217" bestFit="1" customWidth="1"/>
    <col min="9" max="9" width="19.28125" style="217" bestFit="1" customWidth="1"/>
    <col min="10" max="10" width="19.28125" style="217" customWidth="1"/>
    <col min="11" max="11" width="19.57421875" style="217" bestFit="1" customWidth="1"/>
    <col min="12" max="16384" width="10.28125" style="217" customWidth="1"/>
  </cols>
  <sheetData>
    <row r="1" spans="2:11" ht="15.75">
      <c r="B1" s="419" t="s">
        <v>73</v>
      </c>
      <c r="C1" s="454"/>
      <c r="D1" s="35" t="s">
        <v>74</v>
      </c>
      <c r="E1" s="453" t="s">
        <v>75</v>
      </c>
      <c r="F1" s="454"/>
      <c r="G1" s="453" t="s">
        <v>76</v>
      </c>
      <c r="H1" s="454"/>
      <c r="I1" s="349" t="s">
        <v>77</v>
      </c>
      <c r="J1" s="420" t="s">
        <v>78</v>
      </c>
      <c r="K1" s="420"/>
    </row>
    <row r="2" spans="2:11" ht="15">
      <c r="B2" s="217" t="s">
        <v>326</v>
      </c>
      <c r="C2" s="258">
        <f>COUNTIF('Data matrix'!$L$4:$L$123,"&lt;=3")-COUNTIF('Data matrix'!$L$4:$L$123,"&lt;1")</f>
        <v>93</v>
      </c>
      <c r="E2" s="217" t="s">
        <v>326</v>
      </c>
      <c r="F2" s="258">
        <f>COUNTIF('Data matrix'!$N$4:$N$123,"=1")</f>
        <v>3</v>
      </c>
      <c r="G2" s="217" t="s">
        <v>327</v>
      </c>
      <c r="H2" s="258">
        <f>COUNTIF('Data matrix'!$O$4:$O$123,"=1")</f>
        <v>21</v>
      </c>
      <c r="J2" s="217" t="s">
        <v>328</v>
      </c>
      <c r="K2" s="258">
        <f>COUNTIF('Data matrix'!$R$4:$R$123,"=1")</f>
        <v>13</v>
      </c>
    </row>
    <row r="3" spans="2:11" ht="15">
      <c r="B3" s="217" t="s">
        <v>329</v>
      </c>
      <c r="C3" s="258">
        <f>COUNTIF('Data matrix'!$L$4:$L$123,"=4")</f>
        <v>13</v>
      </c>
      <c r="E3" s="217" t="s">
        <v>330</v>
      </c>
      <c r="F3" s="258">
        <f>COUNTIF('Data matrix'!$N$4:$N$123,"=2")</f>
        <v>58</v>
      </c>
      <c r="G3" s="217" t="s">
        <v>331</v>
      </c>
      <c r="H3" s="258">
        <f>COUNTIF('Data matrix'!$O$4:$O$123,"=2")</f>
        <v>20</v>
      </c>
      <c r="J3" s="217" t="s">
        <v>332</v>
      </c>
      <c r="K3" s="258">
        <f>COUNTIF('Data matrix'!$R$4:$R$123,"&lt;5")-COUNTIF('Data matrix'!$R$4:$R$123,"&lt;=1")</f>
        <v>7</v>
      </c>
    </row>
    <row r="4" spans="2:11" ht="15">
      <c r="B4" s="217" t="s">
        <v>333</v>
      </c>
      <c r="C4" s="258">
        <f>COUNTIF('Data matrix'!$L$4:$L$123,"=5")</f>
        <v>7</v>
      </c>
      <c r="E4" s="217" t="s">
        <v>334</v>
      </c>
      <c r="F4" s="258">
        <f>COUNTIF('Data matrix'!$N$4:$N$123,"=3")</f>
        <v>3</v>
      </c>
      <c r="G4" s="217" t="s">
        <v>334</v>
      </c>
      <c r="H4" s="258">
        <f>COUNTIF('Data matrix'!$O$4:$O$123,"=3")</f>
        <v>75</v>
      </c>
      <c r="J4" s="217" t="s">
        <v>278</v>
      </c>
      <c r="K4" s="258">
        <f>COUNTIF('Data matrix'!$R$4:$R$123,"=5")</f>
        <v>93</v>
      </c>
    </row>
    <row r="5" spans="2:11" ht="15">
      <c r="B5" s="217" t="s">
        <v>335</v>
      </c>
      <c r="C5" s="258">
        <f>COUNTIF('Data matrix'!$L$4:$L$123,"=6")</f>
        <v>5</v>
      </c>
      <c r="E5" s="217" t="s">
        <v>336</v>
      </c>
      <c r="F5" s="258">
        <f>COUNTIF('Data matrix'!$N$4:$N$123,"=4")</f>
        <v>31</v>
      </c>
      <c r="G5" s="217" t="s">
        <v>337</v>
      </c>
      <c r="H5" s="258">
        <f>COUNTIF('Data matrix'!$O$4:$O$123,"=4")</f>
        <v>2</v>
      </c>
      <c r="J5" s="217" t="s">
        <v>338</v>
      </c>
      <c r="K5" s="258">
        <f>COUNTIF('Data matrix'!$R$4:$R$123,"&lt;9")-COUNTIF('Data matrix'!$R$4:$R$123,"&lt;=5")</f>
        <v>3</v>
      </c>
    </row>
    <row r="6" spans="2:11" ht="15">
      <c r="B6" s="217" t="s">
        <v>339</v>
      </c>
      <c r="C6" s="258">
        <f>COUNTIF('Data matrix'!$L$4:$L$123,"&gt;=7")</f>
        <v>1</v>
      </c>
      <c r="E6" s="217" t="s">
        <v>333</v>
      </c>
      <c r="F6" s="258">
        <f>COUNTIF('Data matrix'!$N$4:$N$123,"=5")</f>
        <v>6</v>
      </c>
      <c r="G6" s="217" t="s">
        <v>340</v>
      </c>
      <c r="H6" s="258">
        <f>COUNTIF('Data matrix'!$O$4:$O$123,"=5")</f>
        <v>1</v>
      </c>
      <c r="J6" s="217" t="s">
        <v>341</v>
      </c>
      <c r="K6" s="258">
        <f>COUNTIF('Data matrix'!$R$4:$R$123,"=9")</f>
        <v>3</v>
      </c>
    </row>
    <row r="7" spans="3:11" ht="15">
      <c r="C7" s="346"/>
      <c r="E7" s="217" t="s">
        <v>342</v>
      </c>
      <c r="F7" s="258">
        <f>COUNTIF('Data matrix'!$N$4:$N$123,"=6")</f>
        <v>16</v>
      </c>
      <c r="H7" s="346"/>
      <c r="K7" s="346"/>
    </row>
    <row r="8" spans="5:6" ht="15">
      <c r="E8" s="217" t="s">
        <v>343</v>
      </c>
      <c r="F8" s="258">
        <f>COUNTIF('Data matrix'!$N$4:$N$123,"&gt;=7")</f>
        <v>2</v>
      </c>
    </row>
    <row r="9" ht="15">
      <c r="F9" s="346"/>
    </row>
  </sheetData>
  <sheetProtection/>
  <mergeCells count="4">
    <mergeCell ref="J1:K1"/>
    <mergeCell ref="E1:F1"/>
    <mergeCell ref="G1:H1"/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3"/>
  <sheetViews>
    <sheetView zoomScale="55" zoomScaleNormal="55" zoomScalePageLayoutView="0" workbookViewId="0" topLeftCell="A1">
      <selection activeCell="A85" sqref="A85"/>
    </sheetView>
  </sheetViews>
  <sheetFormatPr defaultColWidth="10.28125" defaultRowHeight="12.75"/>
  <cols>
    <col min="1" max="1" width="28.140625" style="217" bestFit="1" customWidth="1"/>
    <col min="2" max="2" width="28.140625" style="217" customWidth="1"/>
    <col min="3" max="3" width="22.7109375" style="217" bestFit="1" customWidth="1"/>
    <col min="4" max="4" width="21.8515625" style="217" bestFit="1" customWidth="1"/>
    <col min="5" max="5" width="34.421875" style="217" bestFit="1" customWidth="1"/>
    <col min="6" max="6" width="22.7109375" style="217" bestFit="1" customWidth="1"/>
    <col min="7" max="7" width="21.8515625" style="217" bestFit="1" customWidth="1"/>
    <col min="8" max="8" width="34.421875" style="217" bestFit="1" customWidth="1"/>
    <col min="9" max="9" width="27.00390625" style="217" bestFit="1" customWidth="1"/>
    <col min="10" max="10" width="23.28125" style="217" bestFit="1" customWidth="1"/>
    <col min="11" max="11" width="15.57421875" style="217" bestFit="1" customWidth="1"/>
    <col min="12" max="12" width="20.140625" style="217" bestFit="1" customWidth="1"/>
    <col min="13" max="13" width="28.140625" style="217" bestFit="1" customWidth="1"/>
    <col min="14" max="14" width="30.7109375" style="217" bestFit="1" customWidth="1"/>
    <col min="15" max="15" width="11.140625" style="217" bestFit="1" customWidth="1"/>
    <col min="16" max="16" width="21.8515625" style="217" bestFit="1" customWidth="1"/>
    <col min="17" max="17" width="19.28125" style="217" bestFit="1" customWidth="1"/>
    <col min="18" max="18" width="21.7109375" style="217" bestFit="1" customWidth="1"/>
    <col min="19" max="20" width="19.28125" style="217" customWidth="1"/>
    <col min="21" max="21" width="19.140625" style="217" bestFit="1" customWidth="1"/>
    <col min="22" max="22" width="19.140625" style="217" customWidth="1"/>
    <col min="23" max="23" width="29.57421875" style="217" bestFit="1" customWidth="1"/>
    <col min="24" max="25" width="19.7109375" style="217" customWidth="1"/>
    <col min="26" max="26" width="15.140625" style="217" customWidth="1"/>
    <col min="27" max="27" width="15.140625" style="234" customWidth="1"/>
    <col min="28" max="16384" width="10.28125" style="217" customWidth="1"/>
  </cols>
  <sheetData>
    <row r="1" ht="15">
      <c r="X1" s="217" t="s">
        <v>344</v>
      </c>
    </row>
    <row r="2" spans="1:27" ht="16.5" thickBot="1">
      <c r="A2" s="458" t="s">
        <v>246</v>
      </c>
      <c r="B2" s="459"/>
      <c r="C2" s="350" t="s">
        <v>247</v>
      </c>
      <c r="D2" s="350" t="s">
        <v>248</v>
      </c>
      <c r="E2" s="350" t="s">
        <v>96</v>
      </c>
      <c r="F2" s="351" t="s">
        <v>249</v>
      </c>
      <c r="G2" s="351" t="s">
        <v>250</v>
      </c>
      <c r="H2" s="352" t="s">
        <v>99</v>
      </c>
      <c r="I2" s="221" t="s">
        <v>251</v>
      </c>
      <c r="J2" s="221" t="s">
        <v>252</v>
      </c>
      <c r="K2" s="222" t="s">
        <v>102</v>
      </c>
      <c r="L2" s="221" t="s">
        <v>253</v>
      </c>
      <c r="M2" s="222" t="s">
        <v>103</v>
      </c>
      <c r="N2" s="259" t="s">
        <v>104</v>
      </c>
      <c r="O2" s="260" t="s">
        <v>105</v>
      </c>
      <c r="P2" s="456" t="s">
        <v>345</v>
      </c>
      <c r="Q2" s="460"/>
      <c r="R2" s="456" t="s">
        <v>345</v>
      </c>
      <c r="S2" s="457"/>
      <c r="T2" s="461" t="s">
        <v>108</v>
      </c>
      <c r="U2" s="462"/>
      <c r="V2" s="449" t="s">
        <v>109</v>
      </c>
      <c r="W2" s="451"/>
      <c r="X2" s="408" t="s">
        <v>100</v>
      </c>
      <c r="Y2" s="455"/>
      <c r="Z2" s="408" t="s">
        <v>100</v>
      </c>
      <c r="AA2" s="455"/>
    </row>
    <row r="3" spans="1:27" ht="15">
      <c r="A3" s="217" t="s">
        <v>346</v>
      </c>
      <c r="B3" s="258">
        <f>COUNTIF('Data matrix'!$AM$4:$AM$123,"Straw")</f>
        <v>36</v>
      </c>
      <c r="P3" s="217" t="s">
        <v>297</v>
      </c>
      <c r="Q3" s="258">
        <f>COUNTIF('Data matrix'!$BI$4:$BI$123,"="&amp;P3)</f>
        <v>2</v>
      </c>
      <c r="R3" s="353"/>
      <c r="S3" s="353">
        <v>2008</v>
      </c>
      <c r="T3" s="354" t="s">
        <v>347</v>
      </c>
      <c r="U3" s="258">
        <f>COUNTIF('Lab descriptors of grain qu (2)'!$F$3:$F$122,"&lt;=100%")-COUNTIF('Lab descriptors of grain qu (2)'!$F$3:$F$122,"&lt;=90%")</f>
        <v>37</v>
      </c>
      <c r="V3" s="217" t="s">
        <v>292</v>
      </c>
      <c r="W3" s="258">
        <f>COUNTIF('Lab descriptors of grain qu (2)'!$G$3:$G$122,"=1")</f>
        <v>10</v>
      </c>
      <c r="Y3" s="217">
        <v>2008</v>
      </c>
      <c r="Z3" s="346"/>
      <c r="AA3" s="346">
        <v>2008</v>
      </c>
    </row>
    <row r="4" spans="1:27" ht="15">
      <c r="A4" s="217" t="s">
        <v>348</v>
      </c>
      <c r="B4" s="258">
        <f>COUNTIF('Data matrix'!$AM$4:$AM$123,"Straw-Gold")</f>
        <v>3</v>
      </c>
      <c r="P4" s="217" t="s">
        <v>349</v>
      </c>
      <c r="Q4" s="258">
        <f>COUNTIF('Data matrix'!$BI$4:$BI$123,"="&amp;P4)</f>
        <v>0</v>
      </c>
      <c r="R4" s="217" t="s">
        <v>297</v>
      </c>
      <c r="S4" s="257">
        <f>COUNTIF('Data matrix'!$BI$4:$BI$123,"="&amp;R4)/114</f>
        <v>0.017543859649122806</v>
      </c>
      <c r="T4" s="354" t="s">
        <v>350</v>
      </c>
      <c r="U4" s="258">
        <f>COUNTIF('Lab descriptors of grain qu (2)'!$F$3:$F$122,"&lt;=90%")-COUNTIF('Lab descriptors of grain qu (2)'!$F$3:$F$122,"&lt;=80%")</f>
        <v>9</v>
      </c>
      <c r="V4" s="217" t="s">
        <v>351</v>
      </c>
      <c r="W4" s="258">
        <f>COUNTIF('Lab descriptors of grain qu (2)'!$G$3:$G$122,"=3")</f>
        <v>12</v>
      </c>
      <c r="X4" s="217" t="s">
        <v>352</v>
      </c>
      <c r="Y4" s="258">
        <f>COUNTIF('Data matrix'!$BB$4:$BB$123,"="&amp;X4)</f>
        <v>7</v>
      </c>
      <c r="Z4" s="217" t="s">
        <v>352</v>
      </c>
      <c r="AA4" s="218">
        <f>COUNTIF('Data matrix'!$BB$4:$BB$123,"="&amp;Z4)/116</f>
        <v>0.0603448275862069</v>
      </c>
    </row>
    <row r="5" spans="1:27" ht="15">
      <c r="A5" s="217" t="s">
        <v>353</v>
      </c>
      <c r="B5" s="258">
        <f>COUNTIF('Data matrix'!$AM$4:$AM$123,"Gold")</f>
        <v>75</v>
      </c>
      <c r="P5" s="217" t="s">
        <v>334</v>
      </c>
      <c r="Q5" s="258">
        <f>COUNTIF('Data matrix'!$BI$4:$BI$123,"="&amp;P5)</f>
        <v>30</v>
      </c>
      <c r="R5" s="217" t="s">
        <v>349</v>
      </c>
      <c r="S5" s="257">
        <f>COUNTIF('Data matrix'!$BI$4:$BI$123,"="&amp;R5)/114</f>
        <v>0</v>
      </c>
      <c r="T5" s="354" t="s">
        <v>354</v>
      </c>
      <c r="U5" s="258">
        <f>COUNTIF('Lab descriptors of grain qu (2)'!$F$3:$F$122,"&lt;=80%")-COUNTIF('Lab descriptors of grain qu (2)'!$F$3:$F$122,"&lt;=70%")</f>
        <v>13</v>
      </c>
      <c r="V5" s="217" t="s">
        <v>278</v>
      </c>
      <c r="W5" s="258">
        <f>COUNTIF('Lab descriptors of grain qu (2)'!$G$3:$G$122,"=5")</f>
        <v>33</v>
      </c>
      <c r="X5" s="217" t="s">
        <v>278</v>
      </c>
      <c r="Y5" s="258">
        <f>COUNTIF('Data matrix'!$BB$4:$BB$123,"="&amp;X5)</f>
        <v>23</v>
      </c>
      <c r="Z5" s="217" t="s">
        <v>278</v>
      </c>
      <c r="AA5" s="218">
        <f>COUNTIF('Data matrix'!$BB$4:$BB$123,"="&amp;Z5)/116</f>
        <v>0.19827586206896552</v>
      </c>
    </row>
    <row r="6" spans="1:27" ht="15">
      <c r="A6" s="217" t="s">
        <v>355</v>
      </c>
      <c r="B6" s="258">
        <f>COUNTIF('Data matrix'!$AM$4:$AM$123,"Brown/Reddish")</f>
        <v>2</v>
      </c>
      <c r="P6" s="217" t="s">
        <v>356</v>
      </c>
      <c r="Q6" s="258">
        <f>COUNTIF('Data matrix'!$BI$4:$BI$123,"="&amp;P6)</f>
        <v>0</v>
      </c>
      <c r="R6" s="217" t="s">
        <v>334</v>
      </c>
      <c r="S6" s="257">
        <f>COUNTIF('Data matrix'!$BI$4:$BI$123,"="&amp;R6)/114</f>
        <v>0.2631578947368421</v>
      </c>
      <c r="T6" s="354" t="s">
        <v>357</v>
      </c>
      <c r="U6" s="258">
        <f>COUNTIF('Lab descriptors of grain qu (2)'!$F$3:$F$122,"&lt;=70%")-COUNTIF('Lab descriptors of grain qu (2)'!$F$3:$F$122,"&lt;=60%")</f>
        <v>7</v>
      </c>
      <c r="V6" s="217" t="s">
        <v>358</v>
      </c>
      <c r="W6" s="258">
        <f>COUNTIF('Lab descriptors of grain qu (2)'!$G$3:$G$122,"=7")</f>
        <v>33</v>
      </c>
      <c r="X6" s="217" t="s">
        <v>359</v>
      </c>
      <c r="Y6" s="258">
        <f>COUNTIF('Data matrix'!$BB$4:$BB$123,"="&amp;X6)</f>
        <v>43</v>
      </c>
      <c r="Z6" s="217" t="s">
        <v>359</v>
      </c>
      <c r="AA6" s="218">
        <f>COUNTIF('Data matrix'!$BB$4:$BB$123,"="&amp;Z6)/116</f>
        <v>0.3706896551724138</v>
      </c>
    </row>
    <row r="7" spans="16:27" ht="15">
      <c r="P7" s="217" t="s">
        <v>310</v>
      </c>
      <c r="Q7" s="258">
        <f>COUNTIF('Data matrix'!$BI$4:$BI$123,"="&amp;P7)</f>
        <v>76</v>
      </c>
      <c r="R7" s="217" t="s">
        <v>356</v>
      </c>
      <c r="S7" s="257">
        <f>COUNTIF('Data matrix'!$BI$4:$BI$123,"="&amp;R7)/114</f>
        <v>0</v>
      </c>
      <c r="T7" s="354" t="s">
        <v>360</v>
      </c>
      <c r="U7" s="258">
        <f>COUNTIF('Lab descriptors of grain qu (2)'!$F$3:$F$122,"&lt;=60%")-COUNTIF('Lab descriptors of grain qu (2)'!$F$3:$F$122,"&lt;=50%")</f>
        <v>7</v>
      </c>
      <c r="V7" s="217" t="s">
        <v>361</v>
      </c>
      <c r="W7" s="258">
        <f>COUNTIF('Lab descriptors of grain qu (2)'!$G$3:$G$122,"=9")</f>
        <v>25</v>
      </c>
      <c r="X7" s="217" t="s">
        <v>362</v>
      </c>
      <c r="Y7" s="258">
        <f>COUNTIF('Data matrix'!$BB$4:$BB$123,"="&amp;X7)</f>
        <v>40</v>
      </c>
      <c r="Z7" s="217" t="s">
        <v>362</v>
      </c>
      <c r="AA7" s="218">
        <f>COUNTIF('Data matrix'!$BB$4:$BB$123,"="&amp;Z7)/116</f>
        <v>0.3448275862068966</v>
      </c>
    </row>
    <row r="8" spans="17:25" ht="15">
      <c r="Q8" s="346"/>
      <c r="R8" s="217" t="s">
        <v>310</v>
      </c>
      <c r="S8" s="257">
        <f>COUNTIF('Data matrix'!$BI$4:$BI$123,"="&amp;R8)/114</f>
        <v>0.6666666666666666</v>
      </c>
      <c r="T8" s="354" t="s">
        <v>363</v>
      </c>
      <c r="U8" s="258">
        <f>COUNTIF('Lab descriptors of grain qu (2)'!$F$3:$F$122,"&lt;=50%")-COUNTIF('Lab descriptors of grain qu (2)'!$F$3:$F$122,"&lt;=40%")</f>
        <v>10</v>
      </c>
      <c r="W8" s="346"/>
      <c r="Y8" s="346"/>
    </row>
    <row r="9" spans="18:21" ht="15">
      <c r="R9" s="346"/>
      <c r="S9" s="346"/>
      <c r="T9" s="354" t="s">
        <v>364</v>
      </c>
      <c r="U9" s="258">
        <f>COUNTIF('Lab descriptors of grain qu (2)'!$F$3:$F$122,"&lt;=40%")-COUNTIF('Lab descriptors of grain qu (2)'!$F$3:$F$122,"&lt;=30%")</f>
        <v>7</v>
      </c>
    </row>
    <row r="10" spans="20:21" ht="15">
      <c r="T10" s="354" t="s">
        <v>365</v>
      </c>
      <c r="U10" s="258">
        <f>COUNTIF('Lab descriptors of grain qu (2)'!$F$3:$F$122,"&lt;=30%")-COUNTIF('Lab descriptors of grain qu (2)'!$F$3:$F$122,"&lt;=20%")</f>
        <v>10</v>
      </c>
    </row>
    <row r="11" spans="20:21" ht="15">
      <c r="T11" s="354" t="s">
        <v>366</v>
      </c>
      <c r="U11" s="258">
        <f>COUNTIF('Lab descriptors of grain qu (2)'!$F$3:$F$122,"&lt;=20%")-COUNTIF('Lab descriptors of grain qu (2)'!$F$3:$F$122,"&lt;=10%")</f>
        <v>6</v>
      </c>
    </row>
    <row r="12" spans="20:21" ht="15">
      <c r="T12" s="354" t="s">
        <v>367</v>
      </c>
      <c r="U12" s="258">
        <f>COUNTIF('Lab descriptors of grain qu (2)'!$F$3:$F$122,"&lt;=10%")</f>
        <v>7</v>
      </c>
    </row>
    <row r="13" spans="20:21" ht="15">
      <c r="T13" s="354"/>
      <c r="U13" s="346"/>
    </row>
  </sheetData>
  <sheetProtection/>
  <mergeCells count="7">
    <mergeCell ref="Z2:AA2"/>
    <mergeCell ref="R2:S2"/>
    <mergeCell ref="A2:B2"/>
    <mergeCell ref="P2:Q2"/>
    <mergeCell ref="T2:U2"/>
    <mergeCell ref="V2:W2"/>
    <mergeCell ref="X2:Y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4.8515625" style="0" customWidth="1"/>
    <col min="2" max="2" width="30.421875" style="0" customWidth="1"/>
    <col min="3" max="3" width="11.57421875" style="0" customWidth="1"/>
    <col min="4" max="4" width="57.7109375" style="0" customWidth="1"/>
    <col min="5" max="5" width="13.28125" style="0" customWidth="1"/>
    <col min="6" max="6" width="13.8515625" style="0" customWidth="1"/>
    <col min="7" max="7" width="52.421875" style="0" customWidth="1"/>
  </cols>
  <sheetData>
    <row r="1" spans="1:7" ht="15.75">
      <c r="A1" s="493" t="s">
        <v>414</v>
      </c>
      <c r="B1" s="493"/>
      <c r="C1" s="493"/>
      <c r="D1" s="493"/>
      <c r="E1" s="493"/>
      <c r="F1" s="493"/>
      <c r="G1" s="22"/>
    </row>
    <row r="2" spans="1:7" ht="12.75">
      <c r="A2" s="494"/>
      <c r="B2" s="494"/>
      <c r="C2" s="494"/>
      <c r="D2" s="494"/>
      <c r="E2" s="495" t="s">
        <v>415</v>
      </c>
      <c r="F2" s="495"/>
      <c r="G2" s="22"/>
    </row>
    <row r="3" spans="1:7" ht="12.75">
      <c r="A3" s="496" t="s">
        <v>416</v>
      </c>
      <c r="B3" s="496" t="s">
        <v>417</v>
      </c>
      <c r="C3" s="496" t="s">
        <v>418</v>
      </c>
      <c r="D3" s="496" t="s">
        <v>419</v>
      </c>
      <c r="E3" s="497" t="s">
        <v>420</v>
      </c>
      <c r="F3" s="497" t="s">
        <v>421</v>
      </c>
      <c r="G3" s="498" t="s">
        <v>422</v>
      </c>
    </row>
    <row r="4" spans="1:7" ht="12.75">
      <c r="A4" s="499" t="s">
        <v>58</v>
      </c>
      <c r="B4" s="500" t="s">
        <v>77</v>
      </c>
      <c r="C4" s="501" t="s">
        <v>423</v>
      </c>
      <c r="D4" s="500" t="s">
        <v>424</v>
      </c>
      <c r="E4" s="502">
        <v>30</v>
      </c>
      <c r="F4" s="502">
        <v>109</v>
      </c>
      <c r="G4" s="503"/>
    </row>
    <row r="5" spans="1:7" ht="12.75">
      <c r="A5" s="504" t="s">
        <v>63</v>
      </c>
      <c r="B5" s="504" t="s">
        <v>89</v>
      </c>
      <c r="C5" s="505" t="s">
        <v>425</v>
      </c>
      <c r="D5" s="504" t="s">
        <v>426</v>
      </c>
      <c r="E5" s="506">
        <v>49</v>
      </c>
      <c r="F5" s="506">
        <v>115</v>
      </c>
      <c r="G5" s="507" t="s">
        <v>427</v>
      </c>
    </row>
    <row r="6" spans="1:7" ht="12.75">
      <c r="A6" s="504"/>
      <c r="B6" s="504" t="s">
        <v>90</v>
      </c>
      <c r="C6" s="505" t="s">
        <v>425</v>
      </c>
      <c r="D6" s="504" t="s">
        <v>428</v>
      </c>
      <c r="E6" s="506">
        <v>36</v>
      </c>
      <c r="F6" s="506">
        <v>118</v>
      </c>
      <c r="G6" s="508" t="s">
        <v>427</v>
      </c>
    </row>
    <row r="7" spans="1:7" ht="12.75">
      <c r="A7" s="504"/>
      <c r="B7" s="504" t="s">
        <v>91</v>
      </c>
      <c r="C7" s="505" t="s">
        <v>425</v>
      </c>
      <c r="D7" s="504" t="s">
        <v>429</v>
      </c>
      <c r="E7" s="506"/>
      <c r="F7" s="506">
        <v>120</v>
      </c>
      <c r="G7" s="22"/>
    </row>
    <row r="8" spans="1:7" ht="12.75">
      <c r="A8" s="504"/>
      <c r="B8" s="504" t="s">
        <v>92</v>
      </c>
      <c r="C8" s="509" t="s">
        <v>425</v>
      </c>
      <c r="D8" s="504" t="s">
        <v>430</v>
      </c>
      <c r="E8" s="506">
        <v>32</v>
      </c>
      <c r="F8" s="506">
        <v>113</v>
      </c>
      <c r="G8" s="22"/>
    </row>
    <row r="9" spans="1:7" ht="12.75">
      <c r="A9" s="494" t="s">
        <v>64</v>
      </c>
      <c r="B9" s="494" t="s">
        <v>93</v>
      </c>
      <c r="C9" s="510" t="s">
        <v>425</v>
      </c>
      <c r="D9" s="494" t="s">
        <v>431</v>
      </c>
      <c r="E9" s="511">
        <v>52</v>
      </c>
      <c r="F9" s="511">
        <v>117</v>
      </c>
      <c r="G9" s="507" t="s">
        <v>432</v>
      </c>
    </row>
    <row r="10" spans="1:7" ht="12.75">
      <c r="A10" s="505"/>
      <c r="B10" s="505" t="s">
        <v>247</v>
      </c>
      <c r="C10" s="505" t="s">
        <v>423</v>
      </c>
      <c r="D10" s="505" t="s">
        <v>23</v>
      </c>
      <c r="E10" s="512">
        <v>54</v>
      </c>
      <c r="F10" s="512">
        <v>121</v>
      </c>
      <c r="G10" s="22"/>
    </row>
    <row r="11" spans="1:7" ht="12.75">
      <c r="A11" s="505"/>
      <c r="B11" s="505" t="s">
        <v>248</v>
      </c>
      <c r="C11" s="505" t="s">
        <v>423</v>
      </c>
      <c r="D11" s="505" t="s">
        <v>23</v>
      </c>
      <c r="E11" s="512">
        <v>55</v>
      </c>
      <c r="F11" s="512">
        <v>122</v>
      </c>
      <c r="G11" s="22"/>
    </row>
    <row r="12" spans="1:7" ht="12.75">
      <c r="A12" s="505"/>
      <c r="B12" s="505" t="s">
        <v>96</v>
      </c>
      <c r="C12" s="505" t="s">
        <v>423</v>
      </c>
      <c r="D12" s="505"/>
      <c r="E12" s="512"/>
      <c r="F12" s="512"/>
      <c r="G12" s="22"/>
    </row>
    <row r="13" spans="1:7" ht="12.75">
      <c r="A13" s="513"/>
      <c r="B13" s="513" t="s">
        <v>249</v>
      </c>
      <c r="C13" s="505" t="s">
        <v>423</v>
      </c>
      <c r="D13" s="513" t="s">
        <v>23</v>
      </c>
      <c r="E13" s="514">
        <v>58</v>
      </c>
      <c r="F13" s="514">
        <v>125</v>
      </c>
      <c r="G13" s="22"/>
    </row>
    <row r="14" spans="1:7" ht="12.75">
      <c r="A14" s="515"/>
      <c r="B14" s="513" t="s">
        <v>250</v>
      </c>
      <c r="C14" s="505" t="s">
        <v>423</v>
      </c>
      <c r="D14" s="513" t="s">
        <v>23</v>
      </c>
      <c r="E14" s="514">
        <v>59</v>
      </c>
      <c r="F14" s="514"/>
      <c r="G14" s="22"/>
    </row>
    <row r="15" spans="1:7" ht="12.75">
      <c r="A15" s="515"/>
      <c r="B15" s="513" t="s">
        <v>99</v>
      </c>
      <c r="C15" s="505" t="s">
        <v>423</v>
      </c>
      <c r="D15" s="513"/>
      <c r="E15" s="514">
        <v>60</v>
      </c>
      <c r="F15" s="514">
        <v>126</v>
      </c>
      <c r="G15" s="22"/>
    </row>
    <row r="16" spans="1:7" ht="12.75">
      <c r="A16" s="516"/>
      <c r="B16" s="513" t="s">
        <v>251</v>
      </c>
      <c r="C16" s="505" t="s">
        <v>423</v>
      </c>
      <c r="D16" s="513" t="s">
        <v>433</v>
      </c>
      <c r="E16" s="514">
        <v>53</v>
      </c>
      <c r="F16" s="514">
        <v>127</v>
      </c>
      <c r="G16" s="22"/>
    </row>
    <row r="17" spans="1:7" ht="12.75">
      <c r="A17" s="516"/>
      <c r="B17" s="513" t="s">
        <v>102</v>
      </c>
      <c r="C17" s="505" t="s">
        <v>423</v>
      </c>
      <c r="D17" s="513" t="s">
        <v>24</v>
      </c>
      <c r="E17" s="514"/>
      <c r="F17" s="514"/>
      <c r="G17" s="22"/>
    </row>
    <row r="18" spans="1:7" ht="12.75">
      <c r="A18" s="516"/>
      <c r="B18" s="513" t="s">
        <v>103</v>
      </c>
      <c r="C18" s="505" t="s">
        <v>423</v>
      </c>
      <c r="D18" s="513" t="s">
        <v>24</v>
      </c>
      <c r="E18" s="514"/>
      <c r="F18" s="514"/>
      <c r="G18" s="22"/>
    </row>
    <row r="19" spans="1:7" ht="12.75">
      <c r="A19" s="516"/>
      <c r="B19" s="513" t="s">
        <v>104</v>
      </c>
      <c r="C19" s="505" t="s">
        <v>423</v>
      </c>
      <c r="D19" s="513" t="s">
        <v>24</v>
      </c>
      <c r="E19" s="514">
        <v>63</v>
      </c>
      <c r="F19" s="514">
        <v>130</v>
      </c>
      <c r="G19" s="507" t="s">
        <v>434</v>
      </c>
    </row>
    <row r="20" spans="1:7" ht="12.75">
      <c r="A20" s="517"/>
      <c r="B20" s="516" t="s">
        <v>105</v>
      </c>
      <c r="C20" s="505" t="s">
        <v>423</v>
      </c>
      <c r="D20" s="516" t="s">
        <v>24</v>
      </c>
      <c r="E20" s="518"/>
      <c r="F20" s="518">
        <v>133</v>
      </c>
      <c r="G20" s="22"/>
    </row>
    <row r="21" spans="1:7" ht="12.75">
      <c r="A21" s="517"/>
      <c r="B21" s="516" t="s">
        <v>345</v>
      </c>
      <c r="C21" s="505" t="s">
        <v>425</v>
      </c>
      <c r="D21" s="516" t="s">
        <v>435</v>
      </c>
      <c r="E21" s="518">
        <v>64</v>
      </c>
      <c r="F21" s="518">
        <v>131</v>
      </c>
      <c r="G21" s="507" t="s">
        <v>436</v>
      </c>
    </row>
    <row r="22" spans="1:7" ht="12.75">
      <c r="A22" s="504"/>
      <c r="B22" s="504" t="s">
        <v>108</v>
      </c>
      <c r="C22" s="505" t="s">
        <v>423</v>
      </c>
      <c r="D22" s="504" t="s">
        <v>24</v>
      </c>
      <c r="E22" s="506"/>
      <c r="F22" s="506">
        <v>124</v>
      </c>
      <c r="G22" s="22"/>
    </row>
    <row r="23" spans="1:7" ht="12.75">
      <c r="A23" s="504"/>
      <c r="B23" s="504" t="s">
        <v>109</v>
      </c>
      <c r="C23" s="505" t="s">
        <v>425</v>
      </c>
      <c r="D23" s="516" t="s">
        <v>437</v>
      </c>
      <c r="E23" s="518"/>
      <c r="F23" s="518">
        <v>124</v>
      </c>
      <c r="G23" s="22"/>
    </row>
    <row r="24" spans="1:7" ht="12.75">
      <c r="A24" s="519"/>
      <c r="B24" s="519" t="s">
        <v>111</v>
      </c>
      <c r="C24" s="509" t="s">
        <v>423</v>
      </c>
      <c r="D24" s="519" t="s">
        <v>25</v>
      </c>
      <c r="E24" s="520"/>
      <c r="F24" s="520">
        <v>131</v>
      </c>
      <c r="G24" s="22"/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2" width="35.7109375" style="3" customWidth="1"/>
    <col min="3" max="16384" width="11.421875" style="3" customWidth="1"/>
  </cols>
  <sheetData>
    <row r="1" s="2" customFormat="1" ht="12.75">
      <c r="A1" s="4" t="s">
        <v>18</v>
      </c>
    </row>
    <row r="4" spans="1:2" ht="12.75">
      <c r="A4" s="1" t="s">
        <v>11</v>
      </c>
      <c r="B4" s="3" t="s">
        <v>39</v>
      </c>
    </row>
    <row r="5" spans="1:2" ht="12.75">
      <c r="A5" s="9" t="s">
        <v>2</v>
      </c>
      <c r="B5" s="3" t="s">
        <v>50</v>
      </c>
    </row>
    <row r="6" spans="1:2" ht="12.75">
      <c r="A6" s="9" t="s">
        <v>9</v>
      </c>
      <c r="B6" s="3" t="s">
        <v>37</v>
      </c>
    </row>
    <row r="7" ht="12.75">
      <c r="A7" s="1" t="s">
        <v>13</v>
      </c>
    </row>
    <row r="8" ht="12.75">
      <c r="A8" s="1" t="s">
        <v>8</v>
      </c>
    </row>
    <row r="9" spans="1:2" ht="12.75">
      <c r="A9" s="9" t="s">
        <v>10</v>
      </c>
      <c r="B9" s="3" t="s">
        <v>38</v>
      </c>
    </row>
    <row r="10" spans="1:2" ht="12.75">
      <c r="A10" s="9" t="s">
        <v>12</v>
      </c>
      <c r="B10" s="3" t="s">
        <v>47</v>
      </c>
    </row>
    <row r="11" spans="1:2" ht="12.75">
      <c r="A11" s="9" t="s">
        <v>15</v>
      </c>
      <c r="B11" s="3" t="s">
        <v>55</v>
      </c>
    </row>
    <row r="12" spans="1:2" ht="12.75">
      <c r="A12" s="9" t="s">
        <v>16</v>
      </c>
      <c r="B12" s="3" t="s">
        <v>56</v>
      </c>
    </row>
    <row r="13" ht="12.75">
      <c r="A13" s="1" t="s">
        <v>14</v>
      </c>
    </row>
    <row r="14" ht="12.75">
      <c r="A14" s="1" t="s">
        <v>5</v>
      </c>
    </row>
    <row r="19" spans="1:4" ht="12.75">
      <c r="A19" s="468" t="s">
        <v>18</v>
      </c>
      <c r="B19" s="468" t="s">
        <v>393</v>
      </c>
      <c r="C19" s="469"/>
      <c r="D19" s="469"/>
    </row>
    <row r="20" spans="1:4" ht="12.75">
      <c r="A20" s="467"/>
      <c r="B20" s="467"/>
      <c r="C20" s="467"/>
      <c r="D20" s="467"/>
    </row>
    <row r="21" spans="1:4" ht="12.75">
      <c r="A21" s="467"/>
      <c r="B21" s="467"/>
      <c r="C21" s="467"/>
      <c r="D21" s="467"/>
    </row>
    <row r="22" spans="1:4" ht="12.75">
      <c r="A22" s="463" t="s">
        <v>11</v>
      </c>
      <c r="B22" s="467" t="s">
        <v>384</v>
      </c>
      <c r="C22" s="467" t="s">
        <v>39</v>
      </c>
      <c r="D22" s="467"/>
    </row>
    <row r="23" spans="1:4" ht="12.75">
      <c r="A23" s="465" t="s">
        <v>2</v>
      </c>
      <c r="B23" s="467" t="s">
        <v>50</v>
      </c>
      <c r="C23" s="467" t="s">
        <v>50</v>
      </c>
      <c r="D23" s="467"/>
    </row>
    <row r="24" spans="1:4" ht="12.75">
      <c r="A24" s="465" t="s">
        <v>9</v>
      </c>
      <c r="B24" s="467" t="s">
        <v>37</v>
      </c>
      <c r="C24" s="467" t="s">
        <v>37</v>
      </c>
      <c r="D24" s="467"/>
    </row>
    <row r="25" spans="1:4" ht="12.75">
      <c r="A25" s="463" t="s">
        <v>13</v>
      </c>
      <c r="B25" s="467"/>
      <c r="C25" s="467"/>
      <c r="D25" s="467"/>
    </row>
    <row r="26" spans="1:4" ht="12.75">
      <c r="A26" s="463" t="s">
        <v>8</v>
      </c>
      <c r="B26" s="467"/>
      <c r="C26" s="467"/>
      <c r="D26" s="467"/>
    </row>
    <row r="27" spans="1:4" ht="12.75">
      <c r="A27" s="465" t="s">
        <v>10</v>
      </c>
      <c r="B27" s="467" t="s">
        <v>385</v>
      </c>
      <c r="C27" s="467" t="s">
        <v>38</v>
      </c>
      <c r="D27" s="467"/>
    </row>
    <row r="28" spans="1:4" ht="12.75">
      <c r="A28" s="465" t="s">
        <v>12</v>
      </c>
      <c r="B28" s="467" t="s">
        <v>386</v>
      </c>
      <c r="C28" s="467" t="s">
        <v>47</v>
      </c>
      <c r="D28" s="467"/>
    </row>
    <row r="29" spans="1:4" ht="12.75">
      <c r="A29" s="465" t="s">
        <v>15</v>
      </c>
      <c r="B29" s="467" t="s">
        <v>387</v>
      </c>
      <c r="C29" s="467" t="s">
        <v>388</v>
      </c>
      <c r="D29" s="467"/>
    </row>
    <row r="30" spans="1:4" ht="12.75">
      <c r="A30" s="465" t="s">
        <v>16</v>
      </c>
      <c r="B30" s="467" t="s">
        <v>389</v>
      </c>
      <c r="C30" s="467" t="s">
        <v>390</v>
      </c>
      <c r="D30" s="467"/>
    </row>
    <row r="31" spans="1:4" ht="12.75">
      <c r="A31" s="463" t="s">
        <v>14</v>
      </c>
      <c r="B31" s="467"/>
      <c r="C31" s="467"/>
      <c r="D31" s="467"/>
    </row>
    <row r="32" spans="1:4" ht="12.75">
      <c r="A32" s="463" t="s">
        <v>5</v>
      </c>
      <c r="B32" s="463" t="s">
        <v>391</v>
      </c>
      <c r="C32" s="463" t="s">
        <v>392</v>
      </c>
      <c r="D32" s="46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43" sqref="A43:E55"/>
    </sheetView>
  </sheetViews>
  <sheetFormatPr defaultColWidth="11.421875" defaultRowHeight="12.75"/>
  <cols>
    <col min="1" max="1" width="35.7109375" style="4" customWidth="1"/>
    <col min="2" max="2" width="59.57421875" style="4" customWidth="1"/>
    <col min="3" max="16384" width="11.421875" style="4" customWidth="1"/>
  </cols>
  <sheetData>
    <row r="1" ht="12.75">
      <c r="A1" s="4" t="s">
        <v>21</v>
      </c>
    </row>
    <row r="3" spans="1:2" ht="12.75">
      <c r="A3" s="10" t="s">
        <v>20</v>
      </c>
      <c r="B3" s="4" t="s">
        <v>370</v>
      </c>
    </row>
    <row r="4" spans="1:2" ht="12.75">
      <c r="A4" s="10" t="s">
        <v>7</v>
      </c>
      <c r="B4" s="4" t="s">
        <v>48</v>
      </c>
    </row>
    <row r="5" spans="1:2" ht="12.75">
      <c r="A5" s="10" t="s">
        <v>22</v>
      </c>
      <c r="B5" s="4" t="s">
        <v>53</v>
      </c>
    </row>
    <row r="6" spans="1:2" ht="12.75">
      <c r="A6" s="10" t="s">
        <v>30</v>
      </c>
      <c r="B6" s="4" t="s">
        <v>378</v>
      </c>
    </row>
    <row r="7" spans="1:2" ht="12.75">
      <c r="A7" s="10" t="s">
        <v>17</v>
      </c>
      <c r="B7" s="4" t="s">
        <v>379</v>
      </c>
    </row>
    <row r="8" ht="12.75">
      <c r="A8" s="10"/>
    </row>
    <row r="9" spans="1:2" ht="12.75">
      <c r="A9" s="361" t="s">
        <v>372</v>
      </c>
      <c r="B9" s="357" t="s">
        <v>380</v>
      </c>
    </row>
    <row r="10" spans="1:2" ht="12.75">
      <c r="A10" s="361"/>
      <c r="B10" s="357" t="s">
        <v>376</v>
      </c>
    </row>
    <row r="11" spans="1:2" ht="12.75">
      <c r="A11" s="361" t="s">
        <v>373</v>
      </c>
      <c r="B11" s="362" t="s">
        <v>374</v>
      </c>
    </row>
    <row r="12" ht="12.75">
      <c r="B12" s="363" t="s">
        <v>375</v>
      </c>
    </row>
    <row r="13" ht="12.75">
      <c r="B13" s="363" t="s">
        <v>377</v>
      </c>
    </row>
    <row r="14" ht="12.75">
      <c r="A14" s="10"/>
    </row>
    <row r="15" spans="1:2" ht="12.75">
      <c r="A15" s="10" t="s">
        <v>54</v>
      </c>
      <c r="B15" s="358" t="s">
        <v>371</v>
      </c>
    </row>
    <row r="16" spans="1:2" ht="12.75">
      <c r="A16" s="10"/>
      <c r="B16" s="355" t="s">
        <v>122</v>
      </c>
    </row>
    <row r="17" spans="1:2" ht="12.75">
      <c r="A17" s="10"/>
      <c r="B17" s="355" t="s">
        <v>123</v>
      </c>
    </row>
    <row r="18" ht="12.75">
      <c r="B18" s="356" t="s">
        <v>124</v>
      </c>
    </row>
    <row r="19" ht="12.75">
      <c r="B19" s="356" t="s">
        <v>125</v>
      </c>
    </row>
    <row r="20" ht="12.75">
      <c r="B20" s="356" t="s">
        <v>149</v>
      </c>
    </row>
    <row r="21" ht="12.75">
      <c r="B21" s="356" t="s">
        <v>170</v>
      </c>
    </row>
    <row r="22" ht="12.75">
      <c r="B22" s="355" t="s">
        <v>180</v>
      </c>
    </row>
    <row r="23" ht="12.75">
      <c r="B23" s="355" t="s">
        <v>189</v>
      </c>
    </row>
    <row r="24" ht="12.75">
      <c r="B24" s="356" t="s">
        <v>190</v>
      </c>
    </row>
    <row r="25" ht="12.75">
      <c r="B25" s="356" t="s">
        <v>213</v>
      </c>
    </row>
    <row r="26" spans="1:2" ht="12.75">
      <c r="A26" s="8"/>
      <c r="B26" s="356"/>
    </row>
    <row r="27" spans="1:2" ht="12.75">
      <c r="A27" s="8"/>
      <c r="B27" s="357" t="s">
        <v>368</v>
      </c>
    </row>
    <row r="28" spans="1:2" ht="12.75">
      <c r="A28" s="8"/>
      <c r="B28" s="357"/>
    </row>
    <row r="29" spans="1:2" ht="12.75">
      <c r="A29" s="8"/>
      <c r="B29" s="488" t="s">
        <v>410</v>
      </c>
    </row>
    <row r="30" spans="1:2" ht="12.75">
      <c r="A30" s="8"/>
      <c r="B30" s="1" t="s">
        <v>413</v>
      </c>
    </row>
    <row r="31" spans="1:2" ht="12.75">
      <c r="A31" s="355"/>
      <c r="B31" s="3"/>
    </row>
    <row r="32" spans="1:2" ht="12.75">
      <c r="A32" s="355"/>
      <c r="B32" s="4" t="s">
        <v>381</v>
      </c>
    </row>
    <row r="33" spans="1:2" ht="12.75">
      <c r="A33" s="355"/>
      <c r="B33" s="3" t="s">
        <v>411</v>
      </c>
    </row>
    <row r="34" spans="1:2" ht="12.75">
      <c r="A34" s="355"/>
      <c r="B34" s="3" t="s">
        <v>412</v>
      </c>
    </row>
    <row r="35" spans="1:2" ht="12.75">
      <c r="A35" s="355"/>
      <c r="B35" s="360"/>
    </row>
    <row r="36" spans="1:2" ht="12.75">
      <c r="A36" s="355"/>
      <c r="B36" s="358" t="s">
        <v>369</v>
      </c>
    </row>
    <row r="37" spans="1:2" ht="12.75">
      <c r="A37" s="355"/>
      <c r="B37" s="355" t="s">
        <v>65</v>
      </c>
    </row>
    <row r="38" spans="1:2" ht="12.75">
      <c r="A38" s="355"/>
      <c r="B38" s="355" t="s">
        <v>66</v>
      </c>
    </row>
    <row r="39" spans="1:2" ht="12.75">
      <c r="A39" s="355"/>
      <c r="B39" s="356" t="s">
        <v>74</v>
      </c>
    </row>
    <row r="40" spans="1:2" ht="12.75">
      <c r="A40" s="355"/>
      <c r="B40" s="391" t="s">
        <v>111</v>
      </c>
    </row>
    <row r="41" ht="12.75">
      <c r="A41" s="356"/>
    </row>
    <row r="43" spans="1:5" ht="12.75">
      <c r="A43" s="468" t="s">
        <v>21</v>
      </c>
      <c r="B43" s="468" t="s">
        <v>406</v>
      </c>
      <c r="C43" s="468"/>
      <c r="D43" s="470"/>
      <c r="E43" s="470"/>
    </row>
    <row r="44" spans="1:5" ht="12.75">
      <c r="A44" s="463"/>
      <c r="B44" s="463"/>
      <c r="C44" s="463"/>
      <c r="D44" s="464"/>
      <c r="E44" s="487"/>
    </row>
    <row r="45" spans="1:5" ht="12.75">
      <c r="A45" s="463"/>
      <c r="B45" s="463"/>
      <c r="C45" s="463"/>
      <c r="D45" s="464"/>
      <c r="E45" s="487"/>
    </row>
    <row r="46" spans="1:5" ht="12.75">
      <c r="A46" s="465" t="s">
        <v>20</v>
      </c>
      <c r="B46" s="463" t="s">
        <v>394</v>
      </c>
      <c r="C46" s="463"/>
      <c r="D46" s="464"/>
      <c r="E46" s="487"/>
    </row>
    <row r="47" spans="1:5" ht="12.75">
      <c r="A47" s="465" t="s">
        <v>7</v>
      </c>
      <c r="B47" s="463" t="s">
        <v>395</v>
      </c>
      <c r="C47" s="463"/>
      <c r="D47" s="464"/>
      <c r="E47" s="487"/>
    </row>
    <row r="48" spans="1:5" ht="12.75">
      <c r="A48" s="465" t="s">
        <v>22</v>
      </c>
      <c r="B48" s="463" t="s">
        <v>396</v>
      </c>
      <c r="C48" s="463"/>
      <c r="D48" s="464"/>
      <c r="E48" s="487"/>
    </row>
    <row r="49" spans="1:5" ht="12.75">
      <c r="A49" s="465" t="s">
        <v>30</v>
      </c>
      <c r="B49" s="463" t="s">
        <v>378</v>
      </c>
      <c r="C49" s="463"/>
      <c r="D49" s="464"/>
      <c r="E49" s="487"/>
    </row>
    <row r="50" spans="1:5" ht="12.75">
      <c r="A50" s="465" t="s">
        <v>17</v>
      </c>
      <c r="B50" s="463" t="s">
        <v>397</v>
      </c>
      <c r="C50" s="463"/>
      <c r="D50" s="464"/>
      <c r="E50" s="487"/>
    </row>
    <row r="51" spans="1:5" ht="12.75">
      <c r="A51" s="463"/>
      <c r="B51" s="463"/>
      <c r="C51" s="463"/>
      <c r="D51" s="464"/>
      <c r="E51" s="487"/>
    </row>
    <row r="52" spans="1:5" ht="12.75">
      <c r="A52" s="466" t="s">
        <v>398</v>
      </c>
      <c r="B52" s="463" t="s">
        <v>399</v>
      </c>
      <c r="C52" s="463" t="s">
        <v>400</v>
      </c>
      <c r="D52" s="464"/>
      <c r="E52" s="487"/>
    </row>
    <row r="53" spans="1:5" ht="13.5" customHeight="1">
      <c r="A53" s="463"/>
      <c r="B53" s="467" t="s">
        <v>401</v>
      </c>
      <c r="C53" s="467" t="s">
        <v>402</v>
      </c>
      <c r="D53" s="464"/>
      <c r="E53" s="487"/>
    </row>
    <row r="54" spans="1:5" ht="13.5" customHeight="1">
      <c r="A54" s="463"/>
      <c r="B54" s="467" t="s">
        <v>403</v>
      </c>
      <c r="C54" s="467" t="s">
        <v>404</v>
      </c>
      <c r="D54" s="464"/>
      <c r="E54" s="487"/>
    </row>
    <row r="55" spans="1:5" ht="13.5" customHeight="1">
      <c r="A55" s="463"/>
      <c r="B55" s="467" t="s">
        <v>405</v>
      </c>
      <c r="C55" s="463"/>
      <c r="D55" s="464"/>
      <c r="E55" s="487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30.7109375" style="1" customWidth="1"/>
    <col min="2" max="2" width="8.57421875" style="13" bestFit="1" customWidth="1"/>
    <col min="3" max="8" width="12.421875" style="19" customWidth="1"/>
    <col min="9" max="9" width="11.421875" style="20" customWidth="1"/>
    <col min="10" max="16384" width="11.421875" style="1" customWidth="1"/>
  </cols>
  <sheetData>
    <row r="1" spans="1:9" ht="15">
      <c r="A1" s="5" t="s">
        <v>27</v>
      </c>
      <c r="B1" s="407" t="s">
        <v>46</v>
      </c>
      <c r="C1" s="407"/>
      <c r="D1" s="407"/>
      <c r="E1" s="407"/>
      <c r="F1" s="407"/>
      <c r="G1" s="407"/>
      <c r="H1" s="407"/>
      <c r="I1" s="13"/>
    </row>
    <row r="2" spans="1:9" ht="12.75">
      <c r="A2" s="5"/>
      <c r="B2" s="11"/>
      <c r="C2" s="15"/>
      <c r="D2" s="15"/>
      <c r="E2" s="16"/>
      <c r="F2" s="15"/>
      <c r="G2" s="15"/>
      <c r="H2" s="18"/>
      <c r="I2" s="13"/>
    </row>
    <row r="3" spans="2:8" ht="12.75">
      <c r="B3" s="4" t="s">
        <v>29</v>
      </c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</row>
    <row r="4" spans="1:8" ht="12.75">
      <c r="A4" s="5" t="s">
        <v>31</v>
      </c>
      <c r="B4" s="11" t="s">
        <v>23</v>
      </c>
      <c r="C4" s="23">
        <v>0.8</v>
      </c>
      <c r="D4" s="23">
        <f>0.2+C4</f>
        <v>1</v>
      </c>
      <c r="E4" s="23">
        <f>0+D4</f>
        <v>1</v>
      </c>
      <c r="F4" s="23">
        <f>11.4+E4</f>
        <v>12.4</v>
      </c>
      <c r="G4" s="23">
        <f>53.2+F4</f>
        <v>65.60000000000001</v>
      </c>
      <c r="H4" s="23">
        <f>10.6+G4</f>
        <v>76.2</v>
      </c>
    </row>
    <row r="5" spans="1:8" ht="12.75">
      <c r="A5" s="5" t="s">
        <v>32</v>
      </c>
      <c r="B5" s="11" t="s">
        <v>25</v>
      </c>
      <c r="C5" s="23">
        <v>27.72</v>
      </c>
      <c r="D5" s="23">
        <v>28.31666666666667</v>
      </c>
      <c r="E5" s="23">
        <v>27.676666666666666</v>
      </c>
      <c r="F5" s="23">
        <v>27.18</v>
      </c>
      <c r="G5" s="23">
        <v>23.58</v>
      </c>
      <c r="H5" s="23">
        <v>18.306666666666665</v>
      </c>
    </row>
    <row r="6" spans="1:8" ht="12.75">
      <c r="A6" s="5" t="s">
        <v>33</v>
      </c>
      <c r="B6" s="11" t="s">
        <v>25</v>
      </c>
      <c r="C6" s="23">
        <v>13.77</v>
      </c>
      <c r="D6" s="23">
        <v>15.1466666666667</v>
      </c>
      <c r="E6" s="23">
        <v>15.023333333333333</v>
      </c>
      <c r="F6" s="23">
        <v>13.316666666666663</v>
      </c>
      <c r="G6" s="23">
        <v>9.356666666666666</v>
      </c>
      <c r="H6" s="23">
        <v>3.266666666666667</v>
      </c>
    </row>
    <row r="7" spans="1:8" ht="12.75">
      <c r="A7" s="6" t="s">
        <v>34</v>
      </c>
      <c r="B7" s="12" t="s">
        <v>24</v>
      </c>
      <c r="C7" s="23">
        <v>68.31</v>
      </c>
      <c r="D7" s="23">
        <v>71</v>
      </c>
      <c r="E7" s="23">
        <v>71.8</v>
      </c>
      <c r="F7" s="23">
        <v>73.77</v>
      </c>
      <c r="G7" s="23">
        <v>72.28666666666666</v>
      </c>
      <c r="H7" s="23">
        <v>77.46333333333334</v>
      </c>
    </row>
    <row r="8" spans="1:8" ht="12.75">
      <c r="A8" s="5" t="s">
        <v>26</v>
      </c>
      <c r="B8" s="11" t="s">
        <v>23</v>
      </c>
      <c r="C8" s="24"/>
      <c r="D8" s="24"/>
      <c r="E8" s="24"/>
      <c r="F8" s="24"/>
      <c r="G8" s="24"/>
      <c r="H8" s="24"/>
    </row>
    <row r="9" spans="1:8" ht="12.75">
      <c r="A9" s="5" t="s">
        <v>35</v>
      </c>
      <c r="B9" s="11" t="s">
        <v>49</v>
      </c>
      <c r="C9" s="25"/>
      <c r="D9" s="25"/>
      <c r="E9" s="25"/>
      <c r="F9" s="25"/>
      <c r="G9" s="25"/>
      <c r="H9" s="21"/>
    </row>
    <row r="10" spans="1:8" ht="12.75">
      <c r="A10" s="7" t="s">
        <v>36</v>
      </c>
      <c r="B10" s="14" t="s">
        <v>28</v>
      </c>
      <c r="C10" s="23">
        <v>8</v>
      </c>
      <c r="D10" s="23">
        <v>6.383333333333335</v>
      </c>
      <c r="E10" s="23">
        <v>7.596666666666667</v>
      </c>
      <c r="F10" s="23">
        <v>3.7066666666666666</v>
      </c>
      <c r="G10" s="23">
        <v>4.796666666666666</v>
      </c>
      <c r="H10" s="23">
        <v>3.27</v>
      </c>
    </row>
    <row r="21" ht="12.75">
      <c r="H21" s="22"/>
    </row>
  </sheetData>
  <sheetProtection/>
  <mergeCells count="1">
    <mergeCell ref="B1:H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716"/>
  <sheetViews>
    <sheetView tabSelected="1" zoomScale="82" zoomScaleNormal="82" zoomScalePageLayoutView="0" workbookViewId="0" topLeftCell="BM1">
      <selection activeCell="BV6" sqref="BV6"/>
    </sheetView>
  </sheetViews>
  <sheetFormatPr defaultColWidth="10.421875" defaultRowHeight="12.75"/>
  <cols>
    <col min="1" max="1" width="5.8515625" style="27" bestFit="1" customWidth="1"/>
    <col min="2" max="2" width="44.00390625" style="27" bestFit="1" customWidth="1"/>
    <col min="3" max="3" width="31.8515625" style="204" bestFit="1" customWidth="1"/>
    <col min="4" max="4" width="22.00390625" style="204" bestFit="1" customWidth="1"/>
    <col min="5" max="5" width="25.8515625" style="204" bestFit="1" customWidth="1"/>
    <col min="6" max="6" width="24.57421875" style="204" bestFit="1" customWidth="1"/>
    <col min="7" max="7" width="25.57421875" style="204" bestFit="1" customWidth="1"/>
    <col min="8" max="8" width="28.140625" style="204" bestFit="1" customWidth="1"/>
    <col min="9" max="9" width="25.8515625" style="205" bestFit="1" customWidth="1"/>
    <col min="10" max="10" width="16.28125" style="206" bestFit="1" customWidth="1"/>
    <col min="11" max="11" width="44.00390625" style="27" bestFit="1" customWidth="1"/>
    <col min="12" max="12" width="16.00390625" style="207" bestFit="1" customWidth="1"/>
    <col min="13" max="13" width="15.7109375" style="208" bestFit="1" customWidth="1"/>
    <col min="14" max="14" width="22.00390625" style="208" bestFit="1" customWidth="1"/>
    <col min="15" max="15" width="18.57421875" style="208" bestFit="1" customWidth="1"/>
    <col min="16" max="16" width="16.28125" style="209" bestFit="1" customWidth="1"/>
    <col min="17" max="17" width="15.140625" style="209" bestFit="1" customWidth="1"/>
    <col min="18" max="18" width="21.7109375" style="89" bestFit="1" customWidth="1"/>
    <col min="19" max="19" width="15.421875" style="200" bestFit="1" customWidth="1"/>
    <col min="20" max="20" width="22.421875" style="200" bestFit="1" customWidth="1"/>
    <col min="21" max="21" width="16.57421875" style="27" bestFit="1" customWidth="1"/>
    <col min="22" max="22" width="14.7109375" style="27" bestFit="1" customWidth="1"/>
    <col min="23" max="23" width="17.57421875" style="27" bestFit="1" customWidth="1"/>
    <col min="24" max="24" width="16.7109375" style="27" bestFit="1" customWidth="1"/>
    <col min="25" max="25" width="44.00390625" style="27" bestFit="1" customWidth="1"/>
    <col min="26" max="26" width="13.421875" style="27" bestFit="1" customWidth="1"/>
    <col min="27" max="27" width="9.7109375" style="27" bestFit="1" customWidth="1"/>
    <col min="28" max="28" width="108.00390625" style="27" bestFit="1" customWidth="1"/>
    <col min="29" max="29" width="35.421875" style="27" bestFit="1" customWidth="1"/>
    <col min="30" max="30" width="16.28125" style="89" bestFit="1" customWidth="1"/>
    <col min="31" max="31" width="21.140625" style="89" bestFit="1" customWidth="1"/>
    <col min="32" max="32" width="43.00390625" style="89" bestFit="1" customWidth="1"/>
    <col min="33" max="33" width="22.7109375" style="210" bestFit="1" customWidth="1"/>
    <col min="34" max="34" width="16.28125" style="211" bestFit="1" customWidth="1"/>
    <col min="35" max="35" width="21.140625" style="210" bestFit="1" customWidth="1"/>
    <col min="36" max="36" width="11.57421875" style="200" bestFit="1" customWidth="1"/>
    <col min="37" max="37" width="44.00390625" style="27" bestFit="1" customWidth="1"/>
    <col min="38" max="38" width="16.28125" style="89" bestFit="1" customWidth="1"/>
    <col min="39" max="39" width="21.140625" style="89" bestFit="1" customWidth="1"/>
    <col min="40" max="40" width="16.28125" style="210" bestFit="1" customWidth="1"/>
    <col min="41" max="41" width="16.28125" style="211" bestFit="1" customWidth="1"/>
    <col min="42" max="42" width="16.28125" style="210" bestFit="1" customWidth="1"/>
    <col min="43" max="43" width="16.28125" style="211" bestFit="1" customWidth="1"/>
    <col min="44" max="45" width="24.00390625" style="211" bestFit="1" customWidth="1"/>
    <col min="46" max="46" width="16.28125" style="211" bestFit="1" customWidth="1"/>
    <col min="47" max="47" width="44.00390625" style="27" bestFit="1" customWidth="1"/>
    <col min="48" max="48" width="16.28125" style="210" bestFit="1" customWidth="1"/>
    <col min="49" max="49" width="16.28125" style="211" bestFit="1" customWidth="1"/>
    <col min="50" max="50" width="16.28125" style="210" bestFit="1" customWidth="1"/>
    <col min="51" max="51" width="16.28125" style="211" bestFit="1" customWidth="1"/>
    <col min="52" max="52" width="24.00390625" style="210" bestFit="1" customWidth="1"/>
    <col min="53" max="53" width="16.28125" style="211" bestFit="1" customWidth="1"/>
    <col min="54" max="54" width="25.28125" style="210" bestFit="1" customWidth="1"/>
    <col min="55" max="55" width="37.57421875" style="209" bestFit="1" customWidth="1"/>
    <col min="56" max="56" width="18.00390625" style="195" bestFit="1" customWidth="1"/>
    <col min="57" max="57" width="35.00390625" style="195" bestFit="1" customWidth="1"/>
    <col min="58" max="58" width="44.00390625" style="27" bestFit="1" customWidth="1"/>
    <col min="59" max="59" width="38.28125" style="89" bestFit="1" customWidth="1"/>
    <col min="60" max="60" width="13.7109375" style="89" bestFit="1" customWidth="1"/>
    <col min="61" max="61" width="41.421875" style="89" bestFit="1" customWidth="1"/>
    <col min="62" max="62" width="50.8515625" style="200" bestFit="1" customWidth="1"/>
    <col min="63" max="63" width="23.7109375" style="212" bestFit="1" customWidth="1"/>
    <col min="64" max="64" width="37.28125" style="213" bestFit="1" customWidth="1"/>
    <col min="65" max="67" width="20.140625" style="89" customWidth="1"/>
    <col min="68" max="68" width="38.57421875" style="27" bestFit="1" customWidth="1"/>
    <col min="69" max="69" width="44.00390625" style="27" bestFit="1" customWidth="1"/>
    <col min="70" max="70" width="22.140625" style="471" customWidth="1"/>
    <col min="71" max="71" width="14.7109375" style="472" customWidth="1"/>
    <col min="72" max="16384" width="10.421875" style="27" customWidth="1"/>
  </cols>
  <sheetData>
    <row r="1" spans="2:71" ht="30.75" customHeight="1" thickBot="1">
      <c r="B1" s="28"/>
      <c r="C1" s="410" t="s">
        <v>57</v>
      </c>
      <c r="D1" s="411"/>
      <c r="E1" s="411"/>
      <c r="F1" s="411"/>
      <c r="G1" s="411"/>
      <c r="H1" s="411"/>
      <c r="I1" s="411"/>
      <c r="J1" s="412"/>
      <c r="K1" s="29"/>
      <c r="L1" s="413" t="s">
        <v>58</v>
      </c>
      <c r="M1" s="413"/>
      <c r="N1" s="413"/>
      <c r="O1" s="413"/>
      <c r="P1" s="413"/>
      <c r="Q1" s="413"/>
      <c r="R1" s="413"/>
      <c r="S1" s="410" t="s">
        <v>59</v>
      </c>
      <c r="T1" s="411"/>
      <c r="U1" s="411"/>
      <c r="V1" s="411"/>
      <c r="W1" s="411"/>
      <c r="X1" s="412"/>
      <c r="Y1" s="28"/>
      <c r="Z1" s="411" t="s">
        <v>60</v>
      </c>
      <c r="AA1" s="411"/>
      <c r="AB1" s="30" t="s">
        <v>61</v>
      </c>
      <c r="AC1" s="31" t="s">
        <v>62</v>
      </c>
      <c r="AD1" s="414" t="s">
        <v>63</v>
      </c>
      <c r="AE1" s="415"/>
      <c r="AF1" s="415"/>
      <c r="AG1" s="415"/>
      <c r="AH1" s="415"/>
      <c r="AI1" s="415"/>
      <c r="AJ1" s="415"/>
      <c r="AK1" s="28"/>
      <c r="AL1" s="416" t="s">
        <v>64</v>
      </c>
      <c r="AM1" s="416"/>
      <c r="AN1" s="416"/>
      <c r="AO1" s="416"/>
      <c r="AP1" s="416"/>
      <c r="AQ1" s="416"/>
      <c r="AR1" s="416"/>
      <c r="AS1" s="416"/>
      <c r="AT1" s="416"/>
      <c r="AU1" s="28"/>
      <c r="AV1" s="416" t="s">
        <v>64</v>
      </c>
      <c r="AW1" s="416"/>
      <c r="AX1" s="416"/>
      <c r="AY1" s="416"/>
      <c r="AZ1" s="416"/>
      <c r="BA1" s="416"/>
      <c r="BB1" s="416"/>
      <c r="BC1" s="416"/>
      <c r="BD1" s="416"/>
      <c r="BE1" s="416"/>
      <c r="BF1" s="28"/>
      <c r="BG1" s="416" t="s">
        <v>64</v>
      </c>
      <c r="BH1" s="416"/>
      <c r="BI1" s="416"/>
      <c r="BJ1" s="416"/>
      <c r="BK1" s="416"/>
      <c r="BL1" s="416"/>
      <c r="BM1" s="416"/>
      <c r="BN1" s="416"/>
      <c r="BO1" s="416"/>
      <c r="BP1" s="416"/>
      <c r="BQ1" s="28"/>
      <c r="BR1" s="485" t="s">
        <v>406</v>
      </c>
      <c r="BS1" s="486"/>
    </row>
    <row r="2" spans="2:71" ht="16.5" thickBot="1">
      <c r="B2" s="33"/>
      <c r="C2" s="34" t="s">
        <v>65</v>
      </c>
      <c r="D2" s="35" t="s">
        <v>66</v>
      </c>
      <c r="E2" s="35" t="s">
        <v>67</v>
      </c>
      <c r="F2" s="35" t="s">
        <v>68</v>
      </c>
      <c r="G2" s="35" t="s">
        <v>382</v>
      </c>
      <c r="H2" s="35" t="s">
        <v>70</v>
      </c>
      <c r="I2" s="35" t="s">
        <v>71</v>
      </c>
      <c r="J2" s="36" t="s">
        <v>72</v>
      </c>
      <c r="K2" s="37"/>
      <c r="L2" s="34" t="s">
        <v>73</v>
      </c>
      <c r="M2" s="35" t="s">
        <v>74</v>
      </c>
      <c r="N2" s="35" t="s">
        <v>75</v>
      </c>
      <c r="O2" s="35" t="s">
        <v>76</v>
      </c>
      <c r="P2" s="417" t="s">
        <v>77</v>
      </c>
      <c r="Q2" s="418"/>
      <c r="R2" s="38" t="s">
        <v>78</v>
      </c>
      <c r="S2" s="39" t="s">
        <v>79</v>
      </c>
      <c r="T2" s="40" t="s">
        <v>80</v>
      </c>
      <c r="U2" s="41" t="s">
        <v>81</v>
      </c>
      <c r="V2" s="42" t="s">
        <v>82</v>
      </c>
      <c r="W2" s="42" t="s">
        <v>83</v>
      </c>
      <c r="X2" s="43" t="s">
        <v>84</v>
      </c>
      <c r="Y2" s="33"/>
      <c r="Z2" s="41" t="s">
        <v>85</v>
      </c>
      <c r="AA2" s="44" t="s">
        <v>86</v>
      </c>
      <c r="AB2" s="45" t="s">
        <v>87</v>
      </c>
      <c r="AC2" s="46" t="s">
        <v>88</v>
      </c>
      <c r="AD2" s="419" t="s">
        <v>89</v>
      </c>
      <c r="AE2" s="420"/>
      <c r="AF2" s="47" t="s">
        <v>90</v>
      </c>
      <c r="AG2" s="424" t="s">
        <v>91</v>
      </c>
      <c r="AH2" s="425"/>
      <c r="AI2" s="426"/>
      <c r="AJ2" s="47" t="s">
        <v>92</v>
      </c>
      <c r="AK2" s="33"/>
      <c r="AL2" s="430" t="s">
        <v>93</v>
      </c>
      <c r="AM2" s="431"/>
      <c r="AN2" s="421" t="s">
        <v>94</v>
      </c>
      <c r="AO2" s="422"/>
      <c r="AP2" s="421" t="s">
        <v>95</v>
      </c>
      <c r="AQ2" s="422"/>
      <c r="AR2" s="421" t="s">
        <v>96</v>
      </c>
      <c r="AS2" s="422"/>
      <c r="AT2" s="423"/>
      <c r="AU2" s="33"/>
      <c r="AV2" s="421" t="s">
        <v>97</v>
      </c>
      <c r="AW2" s="422"/>
      <c r="AX2" s="421" t="s">
        <v>98</v>
      </c>
      <c r="AY2" s="422"/>
      <c r="AZ2" s="408" t="s">
        <v>99</v>
      </c>
      <c r="BA2" s="409"/>
      <c r="BB2" s="366" t="s">
        <v>100</v>
      </c>
      <c r="BC2" s="364" t="s">
        <v>101</v>
      </c>
      <c r="BD2" s="365" t="s">
        <v>102</v>
      </c>
      <c r="BE2" s="365" t="s">
        <v>103</v>
      </c>
      <c r="BF2" s="33"/>
      <c r="BG2" s="48" t="s">
        <v>104</v>
      </c>
      <c r="BH2" s="49" t="s">
        <v>105</v>
      </c>
      <c r="BI2" s="50" t="s">
        <v>106</v>
      </c>
      <c r="BJ2" s="50" t="s">
        <v>107</v>
      </c>
      <c r="BK2" s="51" t="s">
        <v>108</v>
      </c>
      <c r="BL2" s="50" t="s">
        <v>109</v>
      </c>
      <c r="BM2" s="427" t="s">
        <v>110</v>
      </c>
      <c r="BN2" s="428"/>
      <c r="BO2" s="429"/>
      <c r="BP2" s="41" t="s">
        <v>111</v>
      </c>
      <c r="BQ2" s="473"/>
      <c r="BR2" s="479" t="s">
        <v>409</v>
      </c>
      <c r="BS2" s="482" t="s">
        <v>407</v>
      </c>
    </row>
    <row r="3" spans="1:71" s="89" customFormat="1" ht="16.5" thickBot="1">
      <c r="A3" s="52"/>
      <c r="B3" s="53" t="s">
        <v>112</v>
      </c>
      <c r="C3" s="54"/>
      <c r="D3" s="55"/>
      <c r="E3" s="55"/>
      <c r="F3" s="55"/>
      <c r="G3" s="55"/>
      <c r="H3" s="55"/>
      <c r="I3" s="55"/>
      <c r="J3" s="56"/>
      <c r="K3" s="57" t="s">
        <v>112</v>
      </c>
      <c r="L3" s="54"/>
      <c r="M3" s="55"/>
      <c r="N3" s="55"/>
      <c r="O3" s="55"/>
      <c r="P3" s="58" t="s">
        <v>113</v>
      </c>
      <c r="Q3" s="59" t="s">
        <v>114</v>
      </c>
      <c r="R3" s="60"/>
      <c r="S3" s="61"/>
      <c r="T3" s="62"/>
      <c r="U3" s="63"/>
      <c r="V3" s="63"/>
      <c r="W3" s="63"/>
      <c r="X3" s="64"/>
      <c r="Y3" s="53" t="s">
        <v>112</v>
      </c>
      <c r="Z3" s="65"/>
      <c r="AA3" s="66"/>
      <c r="AB3" s="67"/>
      <c r="AC3" s="68"/>
      <c r="AD3" s="61"/>
      <c r="AE3" s="60" t="s">
        <v>115</v>
      </c>
      <c r="AF3" s="69"/>
      <c r="AG3" s="70" t="s">
        <v>116</v>
      </c>
      <c r="AH3" s="71" t="s">
        <v>114</v>
      </c>
      <c r="AI3" s="72" t="s">
        <v>115</v>
      </c>
      <c r="AJ3" s="60"/>
      <c r="AK3" s="53" t="s">
        <v>112</v>
      </c>
      <c r="AL3" s="61"/>
      <c r="AM3" s="73" t="s">
        <v>115</v>
      </c>
      <c r="AN3" s="74" t="s">
        <v>113</v>
      </c>
      <c r="AO3" s="75" t="s">
        <v>114</v>
      </c>
      <c r="AP3" s="74" t="s">
        <v>113</v>
      </c>
      <c r="AQ3" s="73" t="s">
        <v>114</v>
      </c>
      <c r="AR3" s="76" t="s">
        <v>117</v>
      </c>
      <c r="AS3" s="75" t="s">
        <v>118</v>
      </c>
      <c r="AT3" s="379" t="s">
        <v>114</v>
      </c>
      <c r="AU3" s="53" t="s">
        <v>112</v>
      </c>
      <c r="AV3" s="74" t="s">
        <v>113</v>
      </c>
      <c r="AW3" s="75" t="s">
        <v>114</v>
      </c>
      <c r="AX3" s="74" t="s">
        <v>113</v>
      </c>
      <c r="AY3" s="75" t="s">
        <v>114</v>
      </c>
      <c r="AZ3" s="77" t="s">
        <v>118</v>
      </c>
      <c r="BA3" s="75" t="s">
        <v>114</v>
      </c>
      <c r="BB3" s="78" t="s">
        <v>383</v>
      </c>
      <c r="BC3" s="79" t="s">
        <v>383</v>
      </c>
      <c r="BD3" s="80" t="s">
        <v>383</v>
      </c>
      <c r="BE3" s="80" t="s">
        <v>383</v>
      </c>
      <c r="BF3" s="53" t="s">
        <v>112</v>
      </c>
      <c r="BG3" s="81"/>
      <c r="BH3" s="82"/>
      <c r="BI3" s="84"/>
      <c r="BJ3" s="84"/>
      <c r="BK3" s="85"/>
      <c r="BL3" s="83"/>
      <c r="BM3" s="86" t="s">
        <v>119</v>
      </c>
      <c r="BN3" s="87" t="s">
        <v>120</v>
      </c>
      <c r="BO3" s="88" t="s">
        <v>121</v>
      </c>
      <c r="BP3" s="65"/>
      <c r="BQ3" s="474" t="s">
        <v>112</v>
      </c>
      <c r="BR3" s="491"/>
      <c r="BS3" s="492"/>
    </row>
    <row r="4" spans="1:71" ht="21">
      <c r="A4" s="90">
        <v>85</v>
      </c>
      <c r="B4" s="91" t="s">
        <v>122</v>
      </c>
      <c r="C4" s="92"/>
      <c r="D4" s="93"/>
      <c r="E4" s="94">
        <f>'Agronomic traits'!F3</f>
        <v>83</v>
      </c>
      <c r="F4" s="95">
        <f>'Agronomic traits'!H3</f>
        <v>121</v>
      </c>
      <c r="G4" s="96">
        <f>'Agronomic traits'!I3</f>
        <v>95</v>
      </c>
      <c r="H4" s="96">
        <f>'Agronomic traits'!J3</f>
        <v>9</v>
      </c>
      <c r="I4" s="96">
        <f>'Agronomic traits'!K3</f>
        <v>1</v>
      </c>
      <c r="J4" s="97">
        <f>'Agronomic traits'!L3</f>
        <v>2</v>
      </c>
      <c r="K4" s="98" t="s">
        <v>122</v>
      </c>
      <c r="L4" s="99">
        <f>'Field plant descriptors'!C3</f>
        <v>5</v>
      </c>
      <c r="M4" s="95"/>
      <c r="N4" s="95">
        <f>'Field plant descriptors'!E3</f>
        <v>2</v>
      </c>
      <c r="O4" s="95">
        <f>'Field plant descriptors'!F3</f>
        <v>3</v>
      </c>
      <c r="P4" s="100">
        <f>AVERAGE('Field plant descriptors'!G3:L3)</f>
        <v>16.983333333333334</v>
      </c>
      <c r="Q4" s="101">
        <f>STDEV('Field plant descriptors'!G3:L3)</f>
        <v>1.5892346166210531</v>
      </c>
      <c r="R4" s="102">
        <f>'Field plant descriptors'!M3</f>
        <v>5</v>
      </c>
      <c r="S4" s="103">
        <f>'Diseases (blast)'!C3</f>
        <v>4</v>
      </c>
      <c r="T4" s="104">
        <f>'Diseases (blast)'!D3</f>
        <v>1</v>
      </c>
      <c r="U4" s="105"/>
      <c r="V4" s="105"/>
      <c r="W4" s="105"/>
      <c r="X4" s="106"/>
      <c r="Y4" s="91" t="s">
        <v>122</v>
      </c>
      <c r="Z4" s="107"/>
      <c r="AA4" s="108"/>
      <c r="AB4" s="109"/>
      <c r="AC4" s="110"/>
      <c r="AD4" s="111">
        <f>'Field grain descriptors'!C3</f>
        <v>1</v>
      </c>
      <c r="AE4" s="112" t="str">
        <f>IF(AD4=1,"Absent",IF(AD4=9,"Present","?"))</f>
        <v>Absent</v>
      </c>
      <c r="AF4" s="111">
        <f>'Field grain descriptors'!D3</f>
        <v>5</v>
      </c>
      <c r="AG4" s="113">
        <f>AVERAGE('Field grain descriptors'!E3:H3)</f>
        <v>2.5949999999999998</v>
      </c>
      <c r="AH4" s="114">
        <f>STDEV('Field grain descriptors'!E3:H3)</f>
        <v>0.5647713401604831</v>
      </c>
      <c r="AI4" s="115" t="str">
        <f>IF(AG4&gt;2.5,"Long",IF(AG4&gt;1.5,"Medium","Short"))</f>
        <v>Long</v>
      </c>
      <c r="AJ4" s="103">
        <f>'Field grain descriptors'!I3</f>
        <v>1</v>
      </c>
      <c r="AK4" s="91" t="s">
        <v>122</v>
      </c>
      <c r="AL4" s="111">
        <f>'Lab descriptors of grain qualit'!C3</f>
        <v>3</v>
      </c>
      <c r="AM4" s="116" t="str">
        <f>IF(AL4=1,"Straw",IF(AL4="1-3","Straw-Gold",IF(AL4=3,"Gold","Brown/Reddish")))</f>
        <v>Gold</v>
      </c>
      <c r="AN4" s="113">
        <f>AVERAGE('Lab descriptors of grain qualit'!D3:M3)</f>
        <v>9.121</v>
      </c>
      <c r="AO4" s="114">
        <f>STDEV('Lab descriptors of grain qualit'!D3:M3)</f>
        <v>0.3220921193281758</v>
      </c>
      <c r="AP4" s="113">
        <f>AVERAGE('Lab descriptors of grain qualit'!N3:W3)</f>
        <v>3.0769999999999995</v>
      </c>
      <c r="AQ4" s="116">
        <f>STDEV('Lab descriptors of grain qualit'!N3:W3)</f>
        <v>0.09900056116564744</v>
      </c>
      <c r="AR4" s="117">
        <f aca="true" t="shared" si="0" ref="AR4:AR18">AN4/AP4</f>
        <v>2.9642508937276575</v>
      </c>
      <c r="AS4" s="114">
        <f>AVERAGE('Lab descriptors of grain qualit'!X3:AG3)</f>
        <v>2.96618767752461</v>
      </c>
      <c r="AT4" s="380">
        <f>STDEV('Lab descriptors of grain qualit'!X3:AG3)</f>
        <v>0.12292210151008073</v>
      </c>
      <c r="AU4" s="91" t="s">
        <v>122</v>
      </c>
      <c r="AV4" s="113">
        <f>AVERAGE('Lab descriptors of grain qualit'!AI3:AR3)</f>
        <v>6.648999999999999</v>
      </c>
      <c r="AW4" s="114">
        <f>STDEV('Lab descriptors of grain qualit'!AI3:AR3)</f>
        <v>0.22917484833879812</v>
      </c>
      <c r="AX4" s="113">
        <f>AVERAGE('Lab descriptors of grain qualit'!AS3:BB3)</f>
        <v>2.5940000000000003</v>
      </c>
      <c r="AY4" s="114">
        <f>STDEV('Lab descriptors of grain qualit'!AS3:BB3)</f>
        <v>0.14331007563243955</v>
      </c>
      <c r="AZ4" s="113">
        <f>AVERAGE('Lab descriptors of grain qualit'!BC3:BL3)</f>
        <v>2.5675188624170397</v>
      </c>
      <c r="BA4" s="114">
        <f>STDEV('Lab descriptors of grain qualit'!BC3:BL3)</f>
        <v>0.11168596675002183</v>
      </c>
      <c r="BB4" s="118" t="str">
        <f aca="true" t="shared" si="1" ref="BB4:BB13">IF(AND(AV4&lt;=5.2,AZ4&lt;2),"Round",IF(AND(AV4&gt;6,AZ4&lt;3),"Long A",IF(AND(AV4&gt;6,AZ4&gt;3),"Long B","Medium")))</f>
        <v>Long A</v>
      </c>
      <c r="BC4" s="100">
        <f>'Lab descriptors of grain qualit'!BM3</f>
        <v>29.6</v>
      </c>
      <c r="BD4" s="119">
        <f>'Lab descriptors of grain qualit'!BO3</f>
        <v>0.7155405405405405</v>
      </c>
      <c r="BE4" s="119">
        <f>'Lab descriptors of grain qualit'!BQ3</f>
        <v>0.5824324324324324</v>
      </c>
      <c r="BF4" s="91" t="s">
        <v>122</v>
      </c>
      <c r="BG4" s="386">
        <v>18.15</v>
      </c>
      <c r="BH4" s="120"/>
      <c r="BI4" s="121" t="str">
        <f>IF(BJ4&lt;3,"Low",IF(BJ4&lt;4,"Low or intermediate",IF(BJ4&lt;6,"Intermediate","High")))</f>
        <v>High</v>
      </c>
      <c r="BJ4" s="121">
        <f>'Lab descriptors of grain qu (2)'!E3</f>
        <v>6</v>
      </c>
      <c r="BK4" s="122">
        <f>'Lab descriptors of grain qu (2)'!F3</f>
        <v>0.21</v>
      </c>
      <c r="BL4" s="121">
        <f>'Lab descriptors of grain qu (2)'!G3</f>
        <v>7</v>
      </c>
      <c r="BM4" s="123">
        <f>'Lab descriptors of grain qu (2)'!H3</f>
        <v>9</v>
      </c>
      <c r="BN4" s="124">
        <f>'Lab descriptors of grain qu (2)'!I3</f>
        <v>0</v>
      </c>
      <c r="BO4" s="125">
        <f>'Lab descriptors of grain qu (2)'!K3</f>
        <v>0</v>
      </c>
      <c r="BP4" s="107"/>
      <c r="BQ4" s="475" t="s">
        <v>122</v>
      </c>
      <c r="BR4" s="489">
        <v>3</v>
      </c>
      <c r="BS4" s="490"/>
    </row>
    <row r="5" spans="1:71" ht="21">
      <c r="A5" s="90">
        <v>97</v>
      </c>
      <c r="B5" s="126" t="s">
        <v>123</v>
      </c>
      <c r="C5" s="127"/>
      <c r="D5" s="93"/>
      <c r="E5" s="128">
        <f>'Agronomic traits'!F4</f>
        <v>83</v>
      </c>
      <c r="F5" s="128">
        <f>'Agronomic traits'!H4</f>
        <v>121</v>
      </c>
      <c r="G5" s="129">
        <f>'Agronomic traits'!I4</f>
        <v>85</v>
      </c>
      <c r="H5" s="129">
        <f>'Agronomic traits'!J4</f>
        <v>9</v>
      </c>
      <c r="I5" s="129">
        <f>'Agronomic traits'!K4</f>
        <v>1</v>
      </c>
      <c r="J5" s="130">
        <f>'Agronomic traits'!L4</f>
        <v>2</v>
      </c>
      <c r="K5" s="131" t="s">
        <v>123</v>
      </c>
      <c r="L5" s="132">
        <f>'Field plant descriptors'!C4</f>
        <v>2</v>
      </c>
      <c r="M5" s="128"/>
      <c r="N5" s="128">
        <f>'Field plant descriptors'!E4</f>
        <v>2</v>
      </c>
      <c r="O5" s="128">
        <f>'Field plant descriptors'!F4</f>
        <v>2</v>
      </c>
      <c r="P5" s="133">
        <f>AVERAGE('Field plant descriptors'!G4:L4)</f>
        <v>13.983333333333333</v>
      </c>
      <c r="Q5" s="134">
        <f>STDEV('Field plant descriptors'!G4:L4)</f>
        <v>1.2828354012369392</v>
      </c>
      <c r="R5" s="135">
        <f>'Field plant descriptors'!M4</f>
        <v>5</v>
      </c>
      <c r="S5" s="136">
        <f>'Diseases (blast)'!C4</f>
        <v>4</v>
      </c>
      <c r="T5" s="137">
        <f>'Diseases (blast)'!D4</f>
        <v>1</v>
      </c>
      <c r="U5" s="138"/>
      <c r="V5" s="138"/>
      <c r="W5" s="138"/>
      <c r="X5" s="139"/>
      <c r="Y5" s="126" t="s">
        <v>123</v>
      </c>
      <c r="Z5" s="140"/>
      <c r="AA5" s="141"/>
      <c r="AB5" s="142"/>
      <c r="AC5" s="143"/>
      <c r="AD5" s="144">
        <f>'Field grain descriptors'!C4</f>
        <v>1</v>
      </c>
      <c r="AE5" s="145" t="str">
        <f aca="true" t="shared" si="2" ref="AE5:AE68">IF(AD5=1,"Absent",IF(AD5=9,"Present","?"))</f>
        <v>Absent</v>
      </c>
      <c r="AF5" s="144">
        <f>'Field grain descriptors'!D4</f>
        <v>5</v>
      </c>
      <c r="AG5" s="146">
        <f>AVERAGE('Field grain descriptors'!E4:H4)</f>
        <v>2.1574999999999998</v>
      </c>
      <c r="AH5" s="147">
        <f>STDEV('Field grain descriptors'!E4:H4)</f>
        <v>0.12148388096094959</v>
      </c>
      <c r="AI5" s="148" t="str">
        <f aca="true" t="shared" si="3" ref="AI5:AI68">IF(AG5&gt;2.5,"Long",IF(AG5&gt;1.5,"Medium","Short"))</f>
        <v>Medium</v>
      </c>
      <c r="AJ5" s="136">
        <f>'Field grain descriptors'!I4</f>
        <v>1</v>
      </c>
      <c r="AK5" s="126" t="s">
        <v>123</v>
      </c>
      <c r="AL5" s="144">
        <f>'Lab descriptors of grain qualit'!C4</f>
        <v>3</v>
      </c>
      <c r="AM5" s="149" t="str">
        <f aca="true" t="shared" si="4" ref="AM5:AM68">IF(AL5=1,"Straw",IF(AL5="1-3","Straw-Gold",IF(AL5=3,"Gold","Brown/Reddish")))</f>
        <v>Gold</v>
      </c>
      <c r="AN5" s="146">
        <f>AVERAGE('Lab descriptors of grain qualit'!D4:M4)</f>
        <v>8.947000000000001</v>
      </c>
      <c r="AO5" s="147">
        <f>STDEV('Lab descriptors of grain qualit'!D4:M4)</f>
        <v>0.32860141340058807</v>
      </c>
      <c r="AP5" s="146">
        <f>AVERAGE('Lab descriptors of grain qualit'!N4:W4)</f>
        <v>3.038</v>
      </c>
      <c r="AQ5" s="149">
        <f>STDEV('Lab descriptors of grain qualit'!N4:W4)</f>
        <v>0.12813187650923083</v>
      </c>
      <c r="AR5" s="150">
        <f t="shared" si="0"/>
        <v>2.9450296247531274</v>
      </c>
      <c r="AS5" s="147">
        <f>AVERAGE('Lab descriptors of grain qualit'!X4:AG4)</f>
        <v>2.9477735335256128</v>
      </c>
      <c r="AT5" s="381">
        <f>STDEV('Lab descriptors of grain qualit'!X4:AG4)</f>
        <v>0.11702179150755343</v>
      </c>
      <c r="AU5" s="126" t="s">
        <v>123</v>
      </c>
      <c r="AV5" s="146">
        <f>AVERAGE('Lab descriptors of grain qualit'!AI4:AR4)</f>
        <v>6.601000000000001</v>
      </c>
      <c r="AW5" s="147">
        <f>STDEV('Lab descriptors of grain qualit'!AI4:AR4)</f>
        <v>0.10322036836027808</v>
      </c>
      <c r="AX5" s="146">
        <f>AVERAGE('Lab descriptors of grain qualit'!AS4:BB4)</f>
        <v>2.5989999999999993</v>
      </c>
      <c r="AY5" s="147">
        <f>STDEV('Lab descriptors of grain qualit'!AS4:BB4)</f>
        <v>0.06951418720106292</v>
      </c>
      <c r="AZ5" s="146">
        <f>AVERAGE('Lab descriptors of grain qualit'!BC4:BL4)</f>
        <v>2.541105558047459</v>
      </c>
      <c r="BA5" s="147">
        <f>STDEV('Lab descriptors of grain qualit'!BC4:BL4)</f>
        <v>0.06426727005478364</v>
      </c>
      <c r="BB5" s="151" t="str">
        <f t="shared" si="1"/>
        <v>Long A</v>
      </c>
      <c r="BC5" s="133">
        <f>'Lab descriptors of grain qualit'!BM4</f>
        <v>27.92</v>
      </c>
      <c r="BD5" s="152">
        <f>'Lab descriptors of grain qualit'!BO4</f>
        <v>0.6952005730659025</v>
      </c>
      <c r="BE5" s="152">
        <f>'Lab descriptors of grain qualit'!BQ4</f>
        <v>0.6289398280802292</v>
      </c>
      <c r="BF5" s="126" t="s">
        <v>123</v>
      </c>
      <c r="BG5" s="387">
        <v>18.13</v>
      </c>
      <c r="BH5" s="153"/>
      <c r="BI5" s="154" t="str">
        <f aca="true" t="shared" si="5" ref="BI5:BI68">IF(BJ5&lt;3,"Low",IF(BJ5&lt;4,"Low or intermediate",IF(BJ5&lt;6,"Intermediate","High")))</f>
        <v>High</v>
      </c>
      <c r="BJ5" s="154">
        <f>'Lab descriptors of grain qu (2)'!E4</f>
        <v>6</v>
      </c>
      <c r="BK5" s="155">
        <f>'Lab descriptors of grain qu (2)'!F4</f>
        <v>0.1</v>
      </c>
      <c r="BL5" s="154">
        <f>'Lab descriptors of grain qu (2)'!G4</f>
        <v>3</v>
      </c>
      <c r="BM5" s="156">
        <f>'Lab descriptors of grain qu (2)'!H4</f>
        <v>5</v>
      </c>
      <c r="BN5" s="157">
        <f>'Lab descriptors of grain qu (2)'!I4</f>
        <v>0</v>
      </c>
      <c r="BO5" s="158">
        <f>'Lab descriptors of grain qu (2)'!K4</f>
        <v>0</v>
      </c>
      <c r="BP5" s="140"/>
      <c r="BQ5" s="476" t="s">
        <v>123</v>
      </c>
      <c r="BR5" s="480">
        <v>7</v>
      </c>
      <c r="BS5" s="483"/>
    </row>
    <row r="6" spans="1:71" ht="21">
      <c r="A6" s="90">
        <v>104</v>
      </c>
      <c r="B6" s="126" t="s">
        <v>124</v>
      </c>
      <c r="C6" s="127"/>
      <c r="D6" s="93"/>
      <c r="E6" s="128">
        <f>'Agronomic traits'!F5</f>
        <v>80</v>
      </c>
      <c r="F6" s="128">
        <f>'Agronomic traits'!H5</f>
        <v>121</v>
      </c>
      <c r="G6" s="129">
        <f>'Agronomic traits'!I5</f>
        <v>80</v>
      </c>
      <c r="H6" s="129">
        <f>'Agronomic traits'!J5</f>
        <v>9</v>
      </c>
      <c r="I6" s="129">
        <f>'Agronomic traits'!K5</f>
        <v>4</v>
      </c>
      <c r="J6" s="130">
        <f>'Agronomic traits'!L5</f>
        <v>2</v>
      </c>
      <c r="K6" s="131" t="s">
        <v>124</v>
      </c>
      <c r="L6" s="132">
        <f>'Field plant descriptors'!C5</f>
        <v>2</v>
      </c>
      <c r="M6" s="128"/>
      <c r="N6" s="128">
        <f>'Field plant descriptors'!E5</f>
        <v>4</v>
      </c>
      <c r="O6" s="128">
        <f>'Field plant descriptors'!F5</f>
        <v>2</v>
      </c>
      <c r="P6" s="133">
        <f>AVERAGE('Field plant descriptors'!G5:L5)</f>
        <v>13.199999999999998</v>
      </c>
      <c r="Q6" s="134">
        <f>STDEV('Field plant descriptors'!G5:L5)</f>
        <v>1.9473058311421072</v>
      </c>
      <c r="R6" s="135">
        <f>'Field plant descriptors'!M5</f>
        <v>5</v>
      </c>
      <c r="S6" s="136">
        <f>'Diseases (blast)'!C5</f>
        <v>5</v>
      </c>
      <c r="T6" s="137">
        <f>'Diseases (blast)'!D5</f>
        <v>3</v>
      </c>
      <c r="U6" s="138"/>
      <c r="V6" s="138"/>
      <c r="W6" s="138"/>
      <c r="X6" s="139"/>
      <c r="Y6" s="126" t="s">
        <v>124</v>
      </c>
      <c r="Z6" s="140"/>
      <c r="AA6" s="141"/>
      <c r="AB6" s="142"/>
      <c r="AC6" s="143"/>
      <c r="AD6" s="144">
        <f>'Field grain descriptors'!C5</f>
        <v>1</v>
      </c>
      <c r="AE6" s="145" t="str">
        <f t="shared" si="2"/>
        <v>Absent</v>
      </c>
      <c r="AF6" s="144">
        <f>'Field grain descriptors'!D5</f>
        <v>5</v>
      </c>
      <c r="AG6" s="146">
        <f>AVERAGE('Field grain descriptors'!E5:H5)</f>
        <v>2.8225000000000002</v>
      </c>
      <c r="AH6" s="147">
        <f>STDEV('Field grain descriptors'!E5:H5)</f>
        <v>0.24527195790251394</v>
      </c>
      <c r="AI6" s="148" t="str">
        <f t="shared" si="3"/>
        <v>Long</v>
      </c>
      <c r="AJ6" s="136">
        <f>'Field grain descriptors'!I5</f>
        <v>1</v>
      </c>
      <c r="AK6" s="126" t="s">
        <v>124</v>
      </c>
      <c r="AL6" s="144">
        <f>'Lab descriptors of grain qualit'!C5</f>
        <v>3</v>
      </c>
      <c r="AM6" s="149" t="str">
        <f t="shared" si="4"/>
        <v>Gold</v>
      </c>
      <c r="AN6" s="146">
        <f>AVERAGE('Lab descriptors of grain qualit'!D5:M5)</f>
        <v>8.596</v>
      </c>
      <c r="AO6" s="147">
        <f>STDEV('Lab descriptors of grain qualit'!D5:M5)</f>
        <v>0.4405350282453503</v>
      </c>
      <c r="AP6" s="146">
        <f>AVERAGE('Lab descriptors of grain qualit'!N5:W5)</f>
        <v>3.2950000000000004</v>
      </c>
      <c r="AQ6" s="149">
        <f>STDEV('Lab descriptors of grain qualit'!N5:W5)</f>
        <v>0.21365860619221033</v>
      </c>
      <c r="AR6" s="382">
        <f t="shared" si="0"/>
        <v>2.608801213960546</v>
      </c>
      <c r="AS6" s="147">
        <f>AVERAGE('Lab descriptors of grain qualit'!X5:AG5)</f>
        <v>2.6189660155608414</v>
      </c>
      <c r="AT6" s="381">
        <f>STDEV('Lab descriptors of grain qualit'!X5:AG5)</f>
        <v>0.2218557002906438</v>
      </c>
      <c r="AU6" s="126" t="s">
        <v>124</v>
      </c>
      <c r="AV6" s="146">
        <f>AVERAGE('Lab descriptors of grain qualit'!AI5:AR5)</f>
        <v>6.004</v>
      </c>
      <c r="AW6" s="147">
        <f>STDEV('Lab descriptors of grain qualit'!AI5:AR5)</f>
        <v>0.27893448055850917</v>
      </c>
      <c r="AX6" s="146">
        <f>AVERAGE('Lab descriptors of grain qualit'!AS5:BB5)</f>
        <v>2.809</v>
      </c>
      <c r="AY6" s="147">
        <f>STDEV('Lab descriptors of grain qualit'!AS5:BB5)</f>
        <v>0.10268073496684997</v>
      </c>
      <c r="AZ6" s="146">
        <f>AVERAGE('Lab descriptors of grain qualit'!BC5:BL5)</f>
        <v>2.137677521863517</v>
      </c>
      <c r="BA6" s="147">
        <f>STDEV('Lab descriptors of grain qualit'!BC5:BL5)</f>
        <v>0.07001961334221338</v>
      </c>
      <c r="BB6" s="151" t="str">
        <f t="shared" si="1"/>
        <v>Long A</v>
      </c>
      <c r="BC6" s="133">
        <f>'Lab descriptors of grain qualit'!BM5</f>
        <v>28.88</v>
      </c>
      <c r="BD6" s="152">
        <f>'Lab descriptors of grain qualit'!BO5</f>
        <v>0.71398891966759</v>
      </c>
      <c r="BE6" s="152">
        <f>'Lab descriptors of grain qualit'!BQ5</f>
        <v>0.43144044321329644</v>
      </c>
      <c r="BF6" s="126" t="s">
        <v>124</v>
      </c>
      <c r="BG6" s="386">
        <v>17.44</v>
      </c>
      <c r="BH6" s="153"/>
      <c r="BI6" s="154" t="str">
        <f t="shared" si="5"/>
        <v>High</v>
      </c>
      <c r="BJ6" s="154">
        <f>'Lab descriptors of grain qu (2)'!E5</f>
        <v>6</v>
      </c>
      <c r="BK6" s="155">
        <f>'Lab descriptors of grain qu (2)'!F5</f>
        <v>0.14</v>
      </c>
      <c r="BL6" s="154">
        <f>'Lab descriptors of grain qu (2)'!G5</f>
        <v>3</v>
      </c>
      <c r="BM6" s="156">
        <f>'Lab descriptors of grain qu (2)'!H5</f>
        <v>1</v>
      </c>
      <c r="BN6" s="157">
        <f>'Lab descriptors of grain qu (2)'!I5</f>
        <v>0</v>
      </c>
      <c r="BO6" s="158">
        <f>'Lab descriptors of grain qu (2)'!K5</f>
        <v>0</v>
      </c>
      <c r="BP6" s="140"/>
      <c r="BQ6" s="476" t="s">
        <v>124</v>
      </c>
      <c r="BR6" s="480">
        <v>5.5</v>
      </c>
      <c r="BS6" s="483"/>
    </row>
    <row r="7" spans="1:71" ht="21">
      <c r="A7" s="90">
        <v>109</v>
      </c>
      <c r="B7" s="126" t="s">
        <v>125</v>
      </c>
      <c r="C7" s="127"/>
      <c r="D7" s="93"/>
      <c r="E7" s="128">
        <f>'Agronomic traits'!F6</f>
        <v>84</v>
      </c>
      <c r="F7" s="128">
        <f>'Agronomic traits'!H6</f>
        <v>121</v>
      </c>
      <c r="G7" s="129">
        <f>'Agronomic traits'!I6</f>
        <v>83</v>
      </c>
      <c r="H7" s="129">
        <f>'Agronomic traits'!J6</f>
        <v>9</v>
      </c>
      <c r="I7" s="129">
        <f>'Agronomic traits'!K6</f>
        <v>4</v>
      </c>
      <c r="J7" s="130">
        <f>'Agronomic traits'!L6</f>
        <v>2</v>
      </c>
      <c r="K7" s="131" t="s">
        <v>125</v>
      </c>
      <c r="L7" s="132">
        <f>'Field plant descriptors'!C6</f>
        <v>2</v>
      </c>
      <c r="M7" s="128"/>
      <c r="N7" s="128">
        <f>'Field plant descriptors'!E6</f>
        <v>4</v>
      </c>
      <c r="O7" s="128">
        <f>'Field plant descriptors'!F6</f>
        <v>1</v>
      </c>
      <c r="P7" s="133">
        <f>AVERAGE('Field plant descriptors'!G6:L6)</f>
        <v>13.466666666666667</v>
      </c>
      <c r="Q7" s="134">
        <f>STDEV('Field plant descriptors'!G6:L6)</f>
        <v>1.4881756168768183</v>
      </c>
      <c r="R7" s="135">
        <f>'Field plant descriptors'!M6</f>
        <v>5</v>
      </c>
      <c r="S7" s="136">
        <f>'Diseases (blast)'!C6</f>
        <v>3</v>
      </c>
      <c r="T7" s="137">
        <f>'Diseases (blast)'!D6</f>
        <v>1</v>
      </c>
      <c r="U7" s="138"/>
      <c r="V7" s="138"/>
      <c r="W7" s="138"/>
      <c r="X7" s="139"/>
      <c r="Y7" s="126" t="s">
        <v>125</v>
      </c>
      <c r="Z7" s="140"/>
      <c r="AA7" s="141"/>
      <c r="AB7" s="142"/>
      <c r="AC7" s="143"/>
      <c r="AD7" s="144">
        <f>'Field grain descriptors'!C6</f>
        <v>1</v>
      </c>
      <c r="AE7" s="145" t="str">
        <f t="shared" si="2"/>
        <v>Absent</v>
      </c>
      <c r="AF7" s="144">
        <f>'Field grain descriptors'!D6</f>
        <v>5</v>
      </c>
      <c r="AG7" s="146">
        <f>AVERAGE('Field grain descriptors'!E6:H6)</f>
        <v>2.0125</v>
      </c>
      <c r="AH7" s="147">
        <f>STDEV('Field grain descriptors'!E6:H6)</f>
        <v>0.38861935103645867</v>
      </c>
      <c r="AI7" s="148" t="str">
        <f t="shared" si="3"/>
        <v>Medium</v>
      </c>
      <c r="AJ7" s="136">
        <f>'Field grain descriptors'!I6</f>
        <v>1</v>
      </c>
      <c r="AK7" s="126" t="s">
        <v>125</v>
      </c>
      <c r="AL7" s="144">
        <f>'Lab descriptors of grain qualit'!C6</f>
        <v>3</v>
      </c>
      <c r="AM7" s="149" t="str">
        <f t="shared" si="4"/>
        <v>Gold</v>
      </c>
      <c r="AN7" s="146">
        <f>AVERAGE('Lab descriptors of grain qualit'!D6:M6)</f>
        <v>6.67</v>
      </c>
      <c r="AO7" s="147">
        <f>STDEV('Lab descriptors of grain qualit'!D6:M6)</f>
        <v>0.36033934623413116</v>
      </c>
      <c r="AP7" s="146">
        <f>AVERAGE('Lab descriptors of grain qualit'!N6:W6)</f>
        <v>3.2640000000000002</v>
      </c>
      <c r="AQ7" s="149">
        <f>STDEV('Lab descriptors of grain qualit'!N6:W6)</f>
        <v>0.1347590442233876</v>
      </c>
      <c r="AR7" s="382">
        <f t="shared" si="0"/>
        <v>2.0435049019607843</v>
      </c>
      <c r="AS7" s="147">
        <f>AVERAGE('Lab descriptors of grain qualit'!X6:AG6)</f>
        <v>2.044088871887182</v>
      </c>
      <c r="AT7" s="381">
        <f>STDEV('Lab descriptors of grain qualit'!X6:AG6)</f>
        <v>0.08659627580897285</v>
      </c>
      <c r="AU7" s="126" t="s">
        <v>125</v>
      </c>
      <c r="AV7" s="146">
        <f>AVERAGE('Lab descriptors of grain qualit'!AI6:AR6)</f>
        <v>4.794</v>
      </c>
      <c r="AW7" s="147">
        <f>STDEV('Lab descriptors of grain qualit'!AI6:AR6)</f>
        <v>0.16998039102594667</v>
      </c>
      <c r="AX7" s="146">
        <f>AVERAGE('Lab descriptors of grain qualit'!AS6:BB6)</f>
        <v>2.8779999999999997</v>
      </c>
      <c r="AY7" s="147">
        <f>STDEV('Lab descriptors of grain qualit'!AS6:BB6)</f>
        <v>0.05613475849339534</v>
      </c>
      <c r="AZ7" s="146">
        <f>AVERAGE('Lab descriptors of grain qualit'!BC6:BL6)</f>
        <v>1.6664061305711546</v>
      </c>
      <c r="BA7" s="147">
        <f>STDEV('Lab descriptors of grain qualit'!BC6:BL6)</f>
        <v>0.07014483001056526</v>
      </c>
      <c r="BB7" s="151" t="str">
        <f t="shared" si="1"/>
        <v>Round</v>
      </c>
      <c r="BC7" s="133">
        <f>'Lab descriptors of grain qualit'!BM6</f>
        <v>23.79</v>
      </c>
      <c r="BD7" s="152">
        <f>'Lab descriptors of grain qualit'!BO6</f>
        <v>0.7276166456494325</v>
      </c>
      <c r="BE7" s="152">
        <f>'Lab descriptors of grain qualit'!BQ6</f>
        <v>0.6775956284153006</v>
      </c>
      <c r="BF7" s="126" t="s">
        <v>125</v>
      </c>
      <c r="BG7" s="386">
        <v>17.91</v>
      </c>
      <c r="BH7" s="153"/>
      <c r="BI7" s="154" t="str">
        <f t="shared" si="5"/>
        <v>High</v>
      </c>
      <c r="BJ7" s="154">
        <f>'Lab descriptors of grain qu (2)'!E6</f>
        <v>7</v>
      </c>
      <c r="BK7" s="155">
        <f>'Lab descriptors of grain qu (2)'!F6</f>
        <v>0.46</v>
      </c>
      <c r="BL7" s="154">
        <f>'Lab descriptors of grain qu (2)'!G6</f>
        <v>3</v>
      </c>
      <c r="BM7" s="156">
        <f>'Lab descriptors of grain qu (2)'!H6</f>
        <v>1</v>
      </c>
      <c r="BN7" s="157">
        <f>'Lab descriptors of grain qu (2)'!I6</f>
        <v>0</v>
      </c>
      <c r="BO7" s="158">
        <f>'Lab descriptors of grain qu (2)'!K6</f>
        <v>0</v>
      </c>
      <c r="BP7" s="140"/>
      <c r="BQ7" s="476" t="s">
        <v>125</v>
      </c>
      <c r="BR7" s="480">
        <v>12</v>
      </c>
      <c r="BS7" s="483" t="s">
        <v>408</v>
      </c>
    </row>
    <row r="8" spans="1:71" ht="21">
      <c r="A8" s="90">
        <v>118</v>
      </c>
      <c r="B8" s="159" t="s">
        <v>126</v>
      </c>
      <c r="C8" s="160"/>
      <c r="D8" s="161"/>
      <c r="E8" s="162">
        <f>'Agronomic traits'!F7</f>
        <v>103</v>
      </c>
      <c r="F8" s="162">
        <f>'Agronomic traits'!H7</f>
        <v>138</v>
      </c>
      <c r="G8" s="163">
        <f>'Agronomic traits'!I7</f>
        <v>55</v>
      </c>
      <c r="H8" s="163">
        <f>'Agronomic traits'!J7</f>
        <v>9</v>
      </c>
      <c r="I8" s="163">
        <f>'Agronomic traits'!K7</f>
        <v>7</v>
      </c>
      <c r="J8" s="159">
        <f>'Agronomic traits'!L7</f>
        <v>2</v>
      </c>
      <c r="K8" s="164" t="s">
        <v>126</v>
      </c>
      <c r="L8" s="165">
        <f>'Field plant descriptors'!C7</f>
        <v>2</v>
      </c>
      <c r="M8" s="162"/>
      <c r="N8" s="162">
        <f>'Field plant descriptors'!E7</f>
        <v>2</v>
      </c>
      <c r="O8" s="162">
        <f>'Field plant descriptors'!F7</f>
        <v>3</v>
      </c>
      <c r="P8" s="166">
        <f>AVERAGE('Field plant descriptors'!G7:L7)</f>
        <v>20.05</v>
      </c>
      <c r="Q8" s="167">
        <f>STDEV('Field plant descriptors'!G7:L7)</f>
        <v>0.3535533905932738</v>
      </c>
      <c r="R8" s="168">
        <f>'Field plant descriptors'!M7</f>
        <v>5</v>
      </c>
      <c r="S8" s="169">
        <f>'Diseases (blast)'!C8</f>
        <v>1</v>
      </c>
      <c r="T8" s="170">
        <f>'Diseases (blast)'!D8</f>
        <v>1</v>
      </c>
      <c r="U8" s="171"/>
      <c r="V8" s="171"/>
      <c r="W8" s="171"/>
      <c r="X8" s="172"/>
      <c r="Y8" s="159" t="s">
        <v>126</v>
      </c>
      <c r="Z8" s="173"/>
      <c r="AA8" s="174"/>
      <c r="AB8" s="175"/>
      <c r="AC8" s="176"/>
      <c r="AD8" s="177">
        <f>'Field grain descriptors'!C7</f>
        <v>1</v>
      </c>
      <c r="AE8" s="178" t="str">
        <f t="shared" si="2"/>
        <v>Absent</v>
      </c>
      <c r="AF8" s="177">
        <f>'Field grain descriptors'!D7</f>
        <v>1</v>
      </c>
      <c r="AG8" s="179">
        <f>AVERAGE('Field grain descriptors'!E7:H7)</f>
        <v>2.1425</v>
      </c>
      <c r="AH8" s="180">
        <f>STDEV('Field grain descriptors'!E7:H7)</f>
        <v>0.2892951203644243</v>
      </c>
      <c r="AI8" s="181" t="str">
        <f t="shared" si="3"/>
        <v>Medium</v>
      </c>
      <c r="AJ8" s="169">
        <f>'Field grain descriptors'!I7</f>
        <v>1</v>
      </c>
      <c r="AK8" s="159" t="s">
        <v>126</v>
      </c>
      <c r="AL8" s="177">
        <f>'Lab descriptors of grain qualit'!C7</f>
        <v>1</v>
      </c>
      <c r="AM8" s="182" t="str">
        <f t="shared" si="4"/>
        <v>Straw</v>
      </c>
      <c r="AN8" s="179">
        <f>AVERAGE('Lab descriptors of grain qualit'!D7:M7)</f>
        <v>9.176</v>
      </c>
      <c r="AO8" s="180">
        <f>STDEV('Lab descriptors of grain qualit'!D7:M7)</f>
        <v>0.6189273875917078</v>
      </c>
      <c r="AP8" s="179">
        <f>AVERAGE('Lab descriptors of grain qualit'!N7:W7)</f>
        <v>2.6279999999999997</v>
      </c>
      <c r="AQ8" s="182">
        <f>STDEV('Lab descriptors of grain qualit'!N7:W7)</f>
        <v>0.147633179047116</v>
      </c>
      <c r="AR8" s="383">
        <f t="shared" si="0"/>
        <v>3.4916286149162867</v>
      </c>
      <c r="AS8" s="180">
        <f>AVERAGE('Lab descriptors of grain qualit'!X7:AG7)</f>
        <v>3.4935052784388696</v>
      </c>
      <c r="AT8" s="384">
        <f>STDEV('Lab descriptors of grain qualit'!X7:AG7)</f>
        <v>0.18006887893684223</v>
      </c>
      <c r="AU8" s="159" t="s">
        <v>126</v>
      </c>
      <c r="AV8" s="179">
        <f>AVERAGE('Lab descriptors of grain qualit'!AI7:AR7)</f>
        <v>7.078</v>
      </c>
      <c r="AW8" s="180">
        <f>STDEV('Lab descriptors of grain qualit'!AI7:AR7)</f>
        <v>0.24943491691776093</v>
      </c>
      <c r="AX8" s="179">
        <f>AVERAGE('Lab descriptors of grain qualit'!AS7:BB7)</f>
        <v>2.322</v>
      </c>
      <c r="AY8" s="180">
        <f>STDEV('Lab descriptors of grain qualit'!AS7:BB7)</f>
        <v>0.05411920998027711</v>
      </c>
      <c r="AZ8" s="179">
        <f>AVERAGE('Lab descriptors of grain qualit'!BC7:BL7)</f>
        <v>3.0482416278489453</v>
      </c>
      <c r="BA8" s="180">
        <f>STDEV('Lab descriptors of grain qualit'!BC7:BL7)</f>
        <v>0.08192346589016788</v>
      </c>
      <c r="BB8" s="183" t="str">
        <f t="shared" si="1"/>
        <v>Long B</v>
      </c>
      <c r="BC8" s="166">
        <f>'Lab descriptors of grain qualit'!BM7</f>
        <v>24.26</v>
      </c>
      <c r="BD8" s="184">
        <f>'Lab descriptors of grain qualit'!BO7</f>
        <v>0.7007419620774937</v>
      </c>
      <c r="BE8" s="184">
        <f>'Lab descriptors of grain qualit'!BQ7</f>
        <v>0.6409727947238252</v>
      </c>
      <c r="BF8" s="159" t="s">
        <v>126</v>
      </c>
      <c r="BG8" s="386">
        <v>23.15</v>
      </c>
      <c r="BH8" s="185"/>
      <c r="BI8" s="186" t="str">
        <f t="shared" si="5"/>
        <v>High</v>
      </c>
      <c r="BJ8" s="186">
        <f>'Lab descriptors of grain qu (2)'!E7</f>
        <v>6</v>
      </c>
      <c r="BK8" s="187">
        <f>'Lab descriptors of grain qu (2)'!F7</f>
        <v>1</v>
      </c>
      <c r="BL8" s="186">
        <f>'Lab descriptors of grain qu (2)'!G7</f>
        <v>5</v>
      </c>
      <c r="BM8" s="188">
        <f>'Lab descriptors of grain qu (2)'!H7</f>
        <v>0</v>
      </c>
      <c r="BN8" s="189">
        <f>'Lab descriptors of grain qu (2)'!I7</f>
        <v>5</v>
      </c>
      <c r="BO8" s="190">
        <f>'Lab descriptors of grain qu (2)'!K7</f>
        <v>0</v>
      </c>
      <c r="BP8" s="173"/>
      <c r="BQ8" s="477" t="s">
        <v>126</v>
      </c>
      <c r="BR8" s="480">
        <v>8.5</v>
      </c>
      <c r="BS8" s="483" t="s">
        <v>408</v>
      </c>
    </row>
    <row r="9" spans="1:71" ht="21">
      <c r="A9" s="90">
        <v>121</v>
      </c>
      <c r="B9" s="159" t="s">
        <v>127</v>
      </c>
      <c r="C9" s="160"/>
      <c r="D9" s="161"/>
      <c r="E9" s="162">
        <f>'Agronomic traits'!F8</f>
        <v>103</v>
      </c>
      <c r="F9" s="162">
        <f>'Agronomic traits'!H8</f>
        <v>138</v>
      </c>
      <c r="G9" s="163">
        <f>'Agronomic traits'!I8</f>
        <v>56</v>
      </c>
      <c r="H9" s="163">
        <f>'Agronomic traits'!J8</f>
        <v>9</v>
      </c>
      <c r="I9" s="163">
        <f>'Agronomic traits'!K8</f>
        <v>7</v>
      </c>
      <c r="J9" s="159">
        <f>'Agronomic traits'!L8</f>
        <v>2</v>
      </c>
      <c r="K9" s="164" t="s">
        <v>127</v>
      </c>
      <c r="L9" s="165">
        <f>'Field plant descriptors'!C8</f>
        <v>5</v>
      </c>
      <c r="M9" s="162"/>
      <c r="N9" s="162">
        <f>'Field plant descriptors'!E8</f>
        <v>4</v>
      </c>
      <c r="O9" s="162">
        <f>'Field plant descriptors'!F8</f>
        <v>2</v>
      </c>
      <c r="P9" s="166">
        <f>AVERAGE('Field plant descriptors'!G8:L8)</f>
        <v>19.6</v>
      </c>
      <c r="Q9" s="167" t="e">
        <f>STDEV('Field plant descriptors'!G8:L8)</f>
        <v>#DIV/0!</v>
      </c>
      <c r="R9" s="168">
        <f>'Field plant descriptors'!M8</f>
        <v>5</v>
      </c>
      <c r="S9" s="169">
        <f>'Diseases (blast)'!C9</f>
        <v>1</v>
      </c>
      <c r="T9" s="170">
        <f>'Diseases (blast)'!D9</f>
        <v>1</v>
      </c>
      <c r="U9" s="171"/>
      <c r="V9" s="171"/>
      <c r="W9" s="171"/>
      <c r="X9" s="172"/>
      <c r="Y9" s="159" t="s">
        <v>127</v>
      </c>
      <c r="Z9" s="173"/>
      <c r="AA9" s="174"/>
      <c r="AB9" s="175"/>
      <c r="AC9" s="176"/>
      <c r="AD9" s="177">
        <f>'Field grain descriptors'!C8</f>
        <v>1</v>
      </c>
      <c r="AE9" s="178" t="str">
        <f>IF(AD9=1,"Absent",IF(AD9=9,"Present","?"))</f>
        <v>Absent</v>
      </c>
      <c r="AF9" s="177">
        <f>'Field grain descriptors'!D8</f>
        <v>1</v>
      </c>
      <c r="AG9" s="179">
        <f>AVERAGE('Field grain descriptors'!E8:H8)</f>
        <v>2.365</v>
      </c>
      <c r="AH9" s="180">
        <f>STDEV('Field grain descriptors'!E8:H8)</f>
        <v>0.4163732300072439</v>
      </c>
      <c r="AI9" s="181" t="str">
        <f t="shared" si="3"/>
        <v>Medium</v>
      </c>
      <c r="AJ9" s="169">
        <f>'Field grain descriptors'!I8</f>
        <v>1</v>
      </c>
      <c r="AK9" s="159" t="s">
        <v>127</v>
      </c>
      <c r="AL9" s="177">
        <f>'Lab descriptors of grain qualit'!C8</f>
        <v>1</v>
      </c>
      <c r="AM9" s="182" t="str">
        <f t="shared" si="4"/>
        <v>Straw</v>
      </c>
      <c r="AN9" s="179">
        <f>AVERAGE('Lab descriptors of grain qualit'!D8:M8)</f>
        <v>9.212</v>
      </c>
      <c r="AO9" s="180">
        <f>STDEV('Lab descriptors of grain qualit'!D8:M8)</f>
        <v>0.4439919919197665</v>
      </c>
      <c r="AP9" s="179">
        <f>AVERAGE('Lab descriptors of grain qualit'!N8:W8)</f>
        <v>2.6839999999999997</v>
      </c>
      <c r="AQ9" s="182">
        <f>STDEV('Lab descriptors of grain qualit'!N8:W8)</f>
        <v>0.0889694079757614</v>
      </c>
      <c r="AR9" s="383">
        <f t="shared" si="0"/>
        <v>3.432190760059613</v>
      </c>
      <c r="AS9" s="180">
        <f>AVERAGE('Lab descriptors of grain qualit'!X8:AG8)</f>
        <v>3.4357429727030615</v>
      </c>
      <c r="AT9" s="384">
        <f>STDEV('Lab descriptors of grain qualit'!X8:AG8)</f>
        <v>0.20398530557162883</v>
      </c>
      <c r="AU9" s="159" t="s">
        <v>127</v>
      </c>
      <c r="AV9" s="179">
        <f>AVERAGE('Lab descriptors of grain qualit'!AI8:AR8)</f>
        <v>6.875</v>
      </c>
      <c r="AW9" s="180">
        <f>STDEV('Lab descriptors of grain qualit'!AI8:AR8)</f>
        <v>0.46622002435664006</v>
      </c>
      <c r="AX9" s="179">
        <f>AVERAGE('Lab descriptors of grain qualit'!AS8:BB8)</f>
        <v>2.339</v>
      </c>
      <c r="AY9" s="180">
        <f>STDEV('Lab descriptors of grain qualit'!AS8:BB8)</f>
        <v>0.06454111523327871</v>
      </c>
      <c r="AZ9" s="179">
        <f>AVERAGE('Lab descriptors of grain qualit'!BC8:BL8)</f>
        <v>2.9395106272323988</v>
      </c>
      <c r="BA9" s="180">
        <f>STDEV('Lab descriptors of grain qualit'!BC8:BL8)</f>
        <v>0.1848552705092298</v>
      </c>
      <c r="BB9" s="183" t="str">
        <f t="shared" si="1"/>
        <v>Long A</v>
      </c>
      <c r="BC9" s="166">
        <f>'Lab descriptors of grain qualit'!BM8</f>
        <v>24.14</v>
      </c>
      <c r="BD9" s="184">
        <f>'Lab descriptors of grain qualit'!BO8</f>
        <v>0.6946975973487987</v>
      </c>
      <c r="BE9" s="184">
        <f>'Lab descriptors of grain qualit'!BQ8</f>
        <v>0.6462303231151615</v>
      </c>
      <c r="BF9" s="159" t="s">
        <v>127</v>
      </c>
      <c r="BG9" s="386">
        <v>22.66</v>
      </c>
      <c r="BH9" s="185"/>
      <c r="BI9" s="186" t="str">
        <f t="shared" si="5"/>
        <v>High</v>
      </c>
      <c r="BJ9" s="186">
        <f>'Lab descriptors of grain qu (2)'!E8</f>
        <v>6</v>
      </c>
      <c r="BK9" s="187">
        <f>'Lab descriptors of grain qu (2)'!F8</f>
        <v>1</v>
      </c>
      <c r="BL9" s="186">
        <f>'Lab descriptors of grain qu (2)'!G8</f>
        <v>7</v>
      </c>
      <c r="BM9" s="188">
        <f>'Lab descriptors of grain qu (2)'!H8</f>
        <v>5</v>
      </c>
      <c r="BN9" s="189">
        <f>'Lab descriptors of grain qu (2)'!I8</f>
        <v>5</v>
      </c>
      <c r="BO9" s="190">
        <f>'Lab descriptors of grain qu (2)'!K8</f>
        <v>0</v>
      </c>
      <c r="BP9" s="173"/>
      <c r="BQ9" s="477" t="s">
        <v>127</v>
      </c>
      <c r="BR9" s="480">
        <v>7</v>
      </c>
      <c r="BS9" s="483"/>
    </row>
    <row r="10" spans="1:71" ht="21">
      <c r="A10" s="90">
        <v>122</v>
      </c>
      <c r="B10" s="159" t="s">
        <v>128</v>
      </c>
      <c r="C10" s="160"/>
      <c r="D10" s="161"/>
      <c r="E10" s="162">
        <f>'Agronomic traits'!F9</f>
        <v>106</v>
      </c>
      <c r="F10" s="162">
        <f>'Agronomic traits'!H9</f>
        <v>149</v>
      </c>
      <c r="G10" s="163">
        <f>'Agronomic traits'!I9</f>
        <v>70</v>
      </c>
      <c r="H10" s="163">
        <f>'Agronomic traits'!J9</f>
        <v>9</v>
      </c>
      <c r="I10" s="163">
        <f>'Agronomic traits'!K9</f>
        <v>4</v>
      </c>
      <c r="J10" s="159">
        <f>'Agronomic traits'!L9</f>
        <v>5</v>
      </c>
      <c r="K10" s="164" t="s">
        <v>128</v>
      </c>
      <c r="L10" s="165">
        <f>'Field plant descriptors'!C9</f>
        <v>2</v>
      </c>
      <c r="M10" s="162"/>
      <c r="N10" s="162">
        <f>'Field plant descriptors'!E9</f>
        <v>2</v>
      </c>
      <c r="O10" s="162">
        <f>'Field plant descriptors'!F9</f>
        <v>1</v>
      </c>
      <c r="P10" s="166">
        <f>AVERAGE('Field plant descriptors'!G9:L9)</f>
        <v>21.32</v>
      </c>
      <c r="Q10" s="167">
        <f>STDEV('Field plant descriptors'!G9:L9)</f>
        <v>2.3721298446754693</v>
      </c>
      <c r="R10" s="168">
        <f>'Field plant descriptors'!M9</f>
        <v>5</v>
      </c>
      <c r="S10" s="169">
        <f>'Diseases (blast)'!C10</f>
        <v>3</v>
      </c>
      <c r="T10" s="170">
        <f>'Diseases (blast)'!D10</f>
        <v>1</v>
      </c>
      <c r="U10" s="171"/>
      <c r="V10" s="171"/>
      <c r="W10" s="171"/>
      <c r="X10" s="172"/>
      <c r="Y10" s="159" t="s">
        <v>128</v>
      </c>
      <c r="Z10" s="173"/>
      <c r="AA10" s="174"/>
      <c r="AB10" s="175"/>
      <c r="AC10" s="176"/>
      <c r="AD10" s="177">
        <f>'Field grain descriptors'!C9</f>
        <v>9</v>
      </c>
      <c r="AE10" s="178" t="str">
        <f t="shared" si="2"/>
        <v>Present</v>
      </c>
      <c r="AF10" s="177">
        <f>'Field grain descriptors'!D9</f>
        <v>1</v>
      </c>
      <c r="AG10" s="179">
        <f>AVERAGE('Field grain descriptors'!E9:H9)</f>
        <v>2.44</v>
      </c>
      <c r="AH10" s="180">
        <f>STDEV('Field grain descriptors'!E9:H9)</f>
        <v>0.26670833007863354</v>
      </c>
      <c r="AI10" s="181" t="str">
        <f t="shared" si="3"/>
        <v>Medium</v>
      </c>
      <c r="AJ10" s="169">
        <f>'Field grain descriptors'!I9</f>
        <v>4</v>
      </c>
      <c r="AK10" s="159" t="s">
        <v>128</v>
      </c>
      <c r="AL10" s="177">
        <f>'Lab descriptors of grain qualit'!C9</f>
        <v>1</v>
      </c>
      <c r="AM10" s="182" t="str">
        <f t="shared" si="4"/>
        <v>Straw</v>
      </c>
      <c r="AN10" s="179">
        <f>AVERAGE('Lab descriptors of grain qualit'!D9:M9)</f>
        <v>8.673000000000002</v>
      </c>
      <c r="AO10" s="180">
        <f>STDEV('Lab descriptors of grain qualit'!D9:M9)</f>
        <v>0.439217738965752</v>
      </c>
      <c r="AP10" s="179">
        <f>AVERAGE('Lab descriptors of grain qualit'!N9:W9)</f>
        <v>2.4659999999999997</v>
      </c>
      <c r="AQ10" s="182">
        <f>STDEV('Lab descriptors of grain qualit'!N9:W9)</f>
        <v>0.12473972903611047</v>
      </c>
      <c r="AR10" s="383">
        <f t="shared" si="0"/>
        <v>3.5170316301703175</v>
      </c>
      <c r="AS10" s="180">
        <f>AVERAGE('Lab descriptors of grain qualit'!X9:AG9)</f>
        <v>3.522632912812469</v>
      </c>
      <c r="AT10" s="384">
        <f>STDEV('Lab descriptors of grain qualit'!X9:AG9)</f>
        <v>0.20737749537973976</v>
      </c>
      <c r="AU10" s="159" t="s">
        <v>128</v>
      </c>
      <c r="AV10" s="179">
        <f>AVERAGE('Lab descriptors of grain qualit'!AI9:AR9)</f>
        <v>6.814</v>
      </c>
      <c r="AW10" s="180">
        <f>STDEV('Lab descriptors of grain qualit'!AI9:AR9)</f>
        <v>0.3766873150682583</v>
      </c>
      <c r="AX10" s="179">
        <f>AVERAGE('Lab descriptors of grain qualit'!AS9:BB9)</f>
        <v>2.1390000000000002</v>
      </c>
      <c r="AY10" s="180">
        <f>STDEV('Lab descriptors of grain qualit'!AS9:BB9)</f>
        <v>0.054863466897381995</v>
      </c>
      <c r="AZ10" s="179">
        <f>AVERAGE('Lab descriptors of grain qualit'!BC9:BL9)</f>
        <v>3.184250625084981</v>
      </c>
      <c r="BA10" s="180">
        <f>STDEV('Lab descriptors of grain qualit'!BC9:BL9)</f>
        <v>0.12406315877736937</v>
      </c>
      <c r="BB10" s="183" t="str">
        <f t="shared" si="1"/>
        <v>Long B</v>
      </c>
      <c r="BC10" s="166">
        <f>'Lab descriptors of grain qualit'!BM9</f>
        <v>20.16</v>
      </c>
      <c r="BD10" s="184">
        <f>'Lab descriptors of grain qualit'!BO9</f>
        <v>0.7301587301587302</v>
      </c>
      <c r="BE10" s="184">
        <f>'Lab descriptors of grain qualit'!BQ9</f>
        <v>0.7157738095238095</v>
      </c>
      <c r="BF10" s="159" t="s">
        <v>128</v>
      </c>
      <c r="BG10" s="386">
        <v>23.37</v>
      </c>
      <c r="BH10" s="185"/>
      <c r="BI10" s="186" t="str">
        <f t="shared" si="5"/>
        <v>High</v>
      </c>
      <c r="BJ10" s="186" t="str">
        <f>'Lab descriptors of grain qu (2)'!E9</f>
        <v>6-7</v>
      </c>
      <c r="BK10" s="187">
        <f>'Lab descriptors of grain qu (2)'!F9</f>
        <v>0.28</v>
      </c>
      <c r="BL10" s="186">
        <f>'Lab descriptors of grain qu (2)'!G9</f>
        <v>5</v>
      </c>
      <c r="BM10" s="188">
        <f>'Lab descriptors of grain qu (2)'!H9</f>
        <v>0</v>
      </c>
      <c r="BN10" s="189">
        <f>'Lab descriptors of grain qu (2)'!I9</f>
        <v>5</v>
      </c>
      <c r="BO10" s="190">
        <f>'Lab descriptors of grain qu (2)'!K9</f>
        <v>0</v>
      </c>
      <c r="BP10" s="173"/>
      <c r="BQ10" s="477" t="s">
        <v>128</v>
      </c>
      <c r="BR10" s="480">
        <v>4.5</v>
      </c>
      <c r="BS10" s="483"/>
    </row>
    <row r="11" spans="1:71" ht="21">
      <c r="A11" s="90">
        <v>167</v>
      </c>
      <c r="B11" s="159" t="s">
        <v>129</v>
      </c>
      <c r="C11" s="160"/>
      <c r="D11" s="161"/>
      <c r="E11" s="162">
        <f>'Agronomic traits'!F10</f>
        <v>107</v>
      </c>
      <c r="F11" s="162">
        <f>'Agronomic traits'!H10</f>
        <v>149</v>
      </c>
      <c r="G11" s="163">
        <f>'Agronomic traits'!I10</f>
        <v>100</v>
      </c>
      <c r="H11" s="163">
        <f>'Agronomic traits'!J10</f>
        <v>9</v>
      </c>
      <c r="I11" s="163">
        <f>'Agronomic traits'!K10</f>
        <v>4</v>
      </c>
      <c r="J11" s="159">
        <f>'Agronomic traits'!L10</f>
        <v>2</v>
      </c>
      <c r="K11" s="164" t="s">
        <v>129</v>
      </c>
      <c r="L11" s="165">
        <f>'Field plant descriptors'!C10</f>
        <v>5</v>
      </c>
      <c r="M11" s="162"/>
      <c r="N11" s="162">
        <f>'Field plant descriptors'!E10</f>
        <v>4</v>
      </c>
      <c r="O11" s="162">
        <f>'Field plant descriptors'!F10</f>
        <v>3</v>
      </c>
      <c r="P11" s="166">
        <f>AVERAGE('Field plant descriptors'!G10:L10)</f>
        <v>22.2</v>
      </c>
      <c r="Q11" s="167">
        <f>STDEV('Field plant descriptors'!G10:L10)</f>
        <v>0.9359487165438675</v>
      </c>
      <c r="R11" s="168">
        <f>'Field plant descriptors'!M10</f>
        <v>5</v>
      </c>
      <c r="S11" s="169">
        <f>'Diseases (blast)'!C11</f>
        <v>3</v>
      </c>
      <c r="T11" s="170">
        <f>'Diseases (blast)'!D11</f>
        <v>1</v>
      </c>
      <c r="U11" s="171"/>
      <c r="V11" s="171"/>
      <c r="W11" s="171"/>
      <c r="X11" s="172"/>
      <c r="Y11" s="159" t="s">
        <v>129</v>
      </c>
      <c r="Z11" s="173"/>
      <c r="AA11" s="174"/>
      <c r="AB11" s="175"/>
      <c r="AC11" s="176"/>
      <c r="AD11" s="177">
        <f>'Field grain descriptors'!C10</f>
        <v>1</v>
      </c>
      <c r="AE11" s="178" t="str">
        <f t="shared" si="2"/>
        <v>Absent</v>
      </c>
      <c r="AF11" s="177">
        <f>'Field grain descriptors'!D10</f>
        <v>5</v>
      </c>
      <c r="AG11" s="179">
        <f>AVERAGE('Field grain descriptors'!E10:H10)</f>
        <v>3.585</v>
      </c>
      <c r="AH11" s="180">
        <f>STDEV('Field grain descriptors'!E10:H10)</f>
        <v>0.10344080432789712</v>
      </c>
      <c r="AI11" s="181" t="str">
        <f t="shared" si="3"/>
        <v>Long</v>
      </c>
      <c r="AJ11" s="169">
        <f>'Field grain descriptors'!I10</f>
        <v>3</v>
      </c>
      <c r="AK11" s="159" t="s">
        <v>129</v>
      </c>
      <c r="AL11" s="177">
        <f>'Lab descriptors of grain qualit'!C10</f>
        <v>1</v>
      </c>
      <c r="AM11" s="182" t="str">
        <f t="shared" si="4"/>
        <v>Straw</v>
      </c>
      <c r="AN11" s="179">
        <f>AVERAGE('Lab descriptors of grain qualit'!D10:M10)</f>
        <v>9.893999999999998</v>
      </c>
      <c r="AO11" s="180">
        <f>STDEV('Lab descriptors of grain qualit'!D10:M10)</f>
        <v>0.44721856451234077</v>
      </c>
      <c r="AP11" s="179">
        <f>AVERAGE('Lab descriptors of grain qualit'!N10:W10)</f>
        <v>3.027</v>
      </c>
      <c r="AQ11" s="182">
        <f>STDEV('Lab descriptors of grain qualit'!N10:W10)</f>
        <v>0.1694468123696198</v>
      </c>
      <c r="AR11" s="383">
        <f t="shared" si="0"/>
        <v>3.268582755203171</v>
      </c>
      <c r="AS11" s="180">
        <f>AVERAGE('Lab descriptors of grain qualit'!X10:AG10)</f>
        <v>3.275354940925824</v>
      </c>
      <c r="AT11" s="384">
        <f>STDEV('Lab descriptors of grain qualit'!X10:AG10)</f>
        <v>0.19382977932927667</v>
      </c>
      <c r="AU11" s="159" t="s">
        <v>129</v>
      </c>
      <c r="AV11" s="179">
        <f>AVERAGE('Lab descriptors of grain qualit'!AI10:AR10)</f>
        <v>7.366000000000001</v>
      </c>
      <c r="AW11" s="180">
        <f>STDEV('Lab descriptors of grain qualit'!AI10:AR10)</f>
        <v>0.31927696092541874</v>
      </c>
      <c r="AX11" s="179">
        <f>AVERAGE('Lab descriptors of grain qualit'!AS10:BB10)</f>
        <v>2.644</v>
      </c>
      <c r="AY11" s="180">
        <f>STDEV('Lab descriptors of grain qualit'!AS10:BB10)</f>
        <v>0.05601587076691599</v>
      </c>
      <c r="AZ11" s="179">
        <f>AVERAGE('Lab descriptors of grain qualit'!BC10:BL10)</f>
        <v>2.785331817750357</v>
      </c>
      <c r="BA11" s="180">
        <f>STDEV('Lab descriptors of grain qualit'!BC10:BL10)</f>
        <v>0.08921800251795425</v>
      </c>
      <c r="BB11" s="183" t="str">
        <f t="shared" si="1"/>
        <v>Long A</v>
      </c>
      <c r="BC11" s="166">
        <f>'Lab descriptors of grain qualit'!BM10</f>
        <v>31.51</v>
      </c>
      <c r="BD11" s="184">
        <f>'Lab descriptors of grain qualit'!BO10</f>
        <v>0.7010472865756903</v>
      </c>
      <c r="BE11" s="184">
        <f>'Lab descriptors of grain qualit'!BQ10</f>
        <v>0.6762932402411932</v>
      </c>
      <c r="BF11" s="159" t="s">
        <v>129</v>
      </c>
      <c r="BG11" s="388">
        <v>19.2</v>
      </c>
      <c r="BH11" s="185"/>
      <c r="BI11" s="186" t="str">
        <f t="shared" si="5"/>
        <v>Low or intermediate</v>
      </c>
      <c r="BJ11" s="186">
        <f>'Lab descriptors of grain qu (2)'!E10</f>
        <v>3</v>
      </c>
      <c r="BK11" s="187">
        <f>'Lab descriptors of grain qu (2)'!F10</f>
        <v>0.78</v>
      </c>
      <c r="BL11" s="186">
        <f>'Lab descriptors of grain qu (2)'!G10</f>
        <v>7</v>
      </c>
      <c r="BM11" s="188">
        <f>'Lab descriptors of grain qu (2)'!H10</f>
        <v>9</v>
      </c>
      <c r="BN11" s="189">
        <f>'Lab descriptors of grain qu (2)'!I10</f>
        <v>0</v>
      </c>
      <c r="BO11" s="190">
        <f>'Lab descriptors of grain qu (2)'!K10</f>
        <v>0</v>
      </c>
      <c r="BP11" s="173"/>
      <c r="BQ11" s="477" t="s">
        <v>129</v>
      </c>
      <c r="BR11" s="480">
        <v>9.5</v>
      </c>
      <c r="BS11" s="483" t="s">
        <v>408</v>
      </c>
    </row>
    <row r="12" spans="1:71" ht="21">
      <c r="A12" s="90">
        <v>176</v>
      </c>
      <c r="B12" s="159" t="s">
        <v>130</v>
      </c>
      <c r="C12" s="160"/>
      <c r="D12" s="161"/>
      <c r="E12" s="162">
        <f>'Agronomic traits'!F11</f>
        <v>102</v>
      </c>
      <c r="F12" s="162">
        <f>'Agronomic traits'!H11</f>
        <v>146</v>
      </c>
      <c r="G12" s="163">
        <f>'Agronomic traits'!I11</f>
        <v>80</v>
      </c>
      <c r="H12" s="163">
        <f>'Agronomic traits'!J11</f>
        <v>9</v>
      </c>
      <c r="I12" s="163">
        <f>'Agronomic traits'!K11</f>
        <v>2</v>
      </c>
      <c r="J12" s="159">
        <f>'Agronomic traits'!L11</f>
        <v>2</v>
      </c>
      <c r="K12" s="164" t="s">
        <v>130</v>
      </c>
      <c r="L12" s="165">
        <f>'Field plant descriptors'!C11</f>
        <v>2</v>
      </c>
      <c r="M12" s="162"/>
      <c r="N12" s="162">
        <f>'Field plant descriptors'!E11</f>
        <v>4</v>
      </c>
      <c r="O12" s="162">
        <f>'Field plant descriptors'!F11</f>
        <v>3</v>
      </c>
      <c r="P12" s="166">
        <f>AVERAGE('Field plant descriptors'!G11:L11)</f>
        <v>19.816666666666666</v>
      </c>
      <c r="Q12" s="167">
        <f>STDEV('Field plant descriptors'!G11:L11)</f>
        <v>1.6240894885032633</v>
      </c>
      <c r="R12" s="168">
        <f>'Field plant descriptors'!M11</f>
        <v>5</v>
      </c>
      <c r="S12" s="169">
        <f>'Diseases (blast)'!C12</f>
        <v>2</v>
      </c>
      <c r="T12" s="170">
        <f>'Diseases (blast)'!D12</f>
        <v>1</v>
      </c>
      <c r="U12" s="171"/>
      <c r="V12" s="171"/>
      <c r="W12" s="171"/>
      <c r="X12" s="172"/>
      <c r="Y12" s="159" t="s">
        <v>130</v>
      </c>
      <c r="Z12" s="173"/>
      <c r="AA12" s="174"/>
      <c r="AB12" s="175"/>
      <c r="AC12" s="176"/>
      <c r="AD12" s="177">
        <f>'Field grain descriptors'!C11</f>
        <v>1</v>
      </c>
      <c r="AE12" s="178" t="str">
        <f t="shared" si="2"/>
        <v>Absent</v>
      </c>
      <c r="AF12" s="177">
        <f>'Field grain descriptors'!D11</f>
        <v>1</v>
      </c>
      <c r="AG12" s="179">
        <f>AVERAGE('Field grain descriptors'!E11:H11)</f>
        <v>3.2725</v>
      </c>
      <c r="AH12" s="180">
        <f>STDEV('Field grain descriptors'!E11:H11)</f>
        <v>0.7771046690547336</v>
      </c>
      <c r="AI12" s="181" t="str">
        <f t="shared" si="3"/>
        <v>Long</v>
      </c>
      <c r="AJ12" s="169">
        <f>'Field grain descriptors'!I11</f>
        <v>1</v>
      </c>
      <c r="AK12" s="159" t="s">
        <v>130</v>
      </c>
      <c r="AL12" s="177">
        <f>'Lab descriptors of grain qualit'!C11</f>
        <v>1</v>
      </c>
      <c r="AM12" s="182" t="str">
        <f t="shared" si="4"/>
        <v>Straw</v>
      </c>
      <c r="AN12" s="179">
        <f>AVERAGE('Lab descriptors of grain qualit'!D11:M11)</f>
        <v>10.201000000000002</v>
      </c>
      <c r="AO12" s="180">
        <f>STDEV('Lab descriptors of grain qualit'!D11:M11)</f>
        <v>0.4934335483797327</v>
      </c>
      <c r="AP12" s="179">
        <f>AVERAGE('Lab descriptors of grain qualit'!N11:W11)</f>
        <v>2.6079999999999997</v>
      </c>
      <c r="AQ12" s="182">
        <f>STDEV('Lab descriptors of grain qualit'!N11:W11)</f>
        <v>0.1535360978185085</v>
      </c>
      <c r="AR12" s="383">
        <f t="shared" si="0"/>
        <v>3.9114263803680998</v>
      </c>
      <c r="AS12" s="180">
        <f>AVERAGE('Lab descriptors of grain qualit'!X11:AG11)</f>
        <v>3.9157527549258324</v>
      </c>
      <c r="AT12" s="384">
        <f>STDEV('Lab descriptors of grain qualit'!X11:AG11)</f>
        <v>0.14119078946867666</v>
      </c>
      <c r="AU12" s="159" t="s">
        <v>130</v>
      </c>
      <c r="AV12" s="179">
        <f>AVERAGE('Lab descriptors of grain qualit'!AI11:AR11)</f>
        <v>7.2440000000000015</v>
      </c>
      <c r="AW12" s="180">
        <f>STDEV('Lab descriptors of grain qualit'!AI11:AR11)</f>
        <v>0.2589809087772259</v>
      </c>
      <c r="AX12" s="179">
        <f>AVERAGE('Lab descriptors of grain qualit'!AS11:BB11)</f>
        <v>2.135</v>
      </c>
      <c r="AY12" s="180">
        <f>STDEV('Lab descriptors of grain qualit'!AS11:BB11)</f>
        <v>0.1012422836565829</v>
      </c>
      <c r="AZ12" s="179">
        <f>AVERAGE('Lab descriptors of grain qualit'!BC11:BL11)</f>
        <v>3.397204191151178</v>
      </c>
      <c r="BA12" s="180">
        <f>STDEV('Lab descriptors of grain qualit'!BC11:BL11)</f>
        <v>0.14165967640590982</v>
      </c>
      <c r="BB12" s="183" t="str">
        <f t="shared" si="1"/>
        <v>Long B</v>
      </c>
      <c r="BC12" s="166">
        <f>'Lab descriptors of grain qualit'!BM11</f>
        <v>23.42</v>
      </c>
      <c r="BD12" s="184">
        <f>'Lab descriptors of grain qualit'!BO11</f>
        <v>0.6626814688300597</v>
      </c>
      <c r="BE12" s="184">
        <f>'Lab descriptors of grain qualit'!BQ11</f>
        <v>0.6029035012809564</v>
      </c>
      <c r="BF12" s="159" t="s">
        <v>130</v>
      </c>
      <c r="BG12" s="385"/>
      <c r="BH12" s="185"/>
      <c r="BI12" s="186" t="str">
        <f t="shared" si="5"/>
        <v>Intermediate</v>
      </c>
      <c r="BJ12" s="186">
        <f>'Lab descriptors of grain qu (2)'!E11</f>
        <v>4</v>
      </c>
      <c r="BK12" s="187">
        <f>'Lab descriptors of grain qu (2)'!F11</f>
        <v>0.16</v>
      </c>
      <c r="BL12" s="186">
        <f>'Lab descriptors of grain qu (2)'!G11</f>
        <v>1</v>
      </c>
      <c r="BM12" s="188">
        <f>'Lab descriptors of grain qu (2)'!H11</f>
        <v>0</v>
      </c>
      <c r="BN12" s="189">
        <f>'Lab descriptors of grain qu (2)'!I11</f>
        <v>1</v>
      </c>
      <c r="BO12" s="190">
        <f>'Lab descriptors of grain qu (2)'!K11</f>
        <v>0</v>
      </c>
      <c r="BP12" s="173"/>
      <c r="BQ12" s="477" t="s">
        <v>130</v>
      </c>
      <c r="BR12" s="480">
        <v>0.5</v>
      </c>
      <c r="BS12" s="483"/>
    </row>
    <row r="13" spans="1:71" ht="21">
      <c r="A13" s="90">
        <v>323</v>
      </c>
      <c r="B13" s="159" t="s">
        <v>131</v>
      </c>
      <c r="C13" s="160"/>
      <c r="D13" s="161"/>
      <c r="E13" s="162">
        <f>'Agronomic traits'!F12</f>
        <v>103</v>
      </c>
      <c r="F13" s="162">
        <f>'Agronomic traits'!H12</f>
        <v>149</v>
      </c>
      <c r="G13" s="163">
        <f>'Agronomic traits'!I12</f>
        <v>45</v>
      </c>
      <c r="H13" s="163">
        <f>'Agronomic traits'!J12</f>
        <v>9</v>
      </c>
      <c r="I13" s="163">
        <f>'Agronomic traits'!K12</f>
        <v>7</v>
      </c>
      <c r="J13" s="159">
        <f>'Agronomic traits'!L12</f>
        <v>2</v>
      </c>
      <c r="K13" s="164" t="s">
        <v>131</v>
      </c>
      <c r="L13" s="165">
        <f>'Field plant descriptors'!C12</f>
        <v>2</v>
      </c>
      <c r="M13" s="162"/>
      <c r="N13" s="162">
        <f>'Field plant descriptors'!E12</f>
        <v>1</v>
      </c>
      <c r="O13" s="162">
        <f>'Field plant descriptors'!F12</f>
        <v>3</v>
      </c>
      <c r="P13" s="166">
        <f>AVERAGE('Field plant descriptors'!G12:L12)</f>
        <v>18.833333333333332</v>
      </c>
      <c r="Q13" s="167">
        <f>STDEV('Field plant descriptors'!G12:L12)</f>
        <v>1.2220201853216064</v>
      </c>
      <c r="R13" s="168">
        <f>'Field plant descriptors'!M12</f>
        <v>5</v>
      </c>
      <c r="S13" s="169">
        <f>'Diseases (blast)'!C13</f>
        <v>2</v>
      </c>
      <c r="T13" s="170">
        <f>'Diseases (blast)'!D13</f>
        <v>2</v>
      </c>
      <c r="U13" s="171"/>
      <c r="V13" s="171"/>
      <c r="W13" s="171"/>
      <c r="X13" s="172"/>
      <c r="Y13" s="159" t="s">
        <v>131</v>
      </c>
      <c r="Z13" s="173"/>
      <c r="AA13" s="174"/>
      <c r="AB13" s="175"/>
      <c r="AC13" s="176"/>
      <c r="AD13" s="177">
        <f>'Field grain descriptors'!C12</f>
        <v>1</v>
      </c>
      <c r="AE13" s="178" t="str">
        <f t="shared" si="2"/>
        <v>Absent</v>
      </c>
      <c r="AF13" s="177">
        <f>'Field grain descriptors'!D12</f>
        <v>1</v>
      </c>
      <c r="AG13" s="179">
        <f>AVERAGE('Field grain descriptors'!E12:H12)</f>
        <v>2.5825</v>
      </c>
      <c r="AH13" s="180">
        <f>STDEV('Field grain descriptors'!E12:H12)</f>
        <v>0.16255768207009494</v>
      </c>
      <c r="AI13" s="181" t="str">
        <f t="shared" si="3"/>
        <v>Long</v>
      </c>
      <c r="AJ13" s="169">
        <f>'Field grain descriptors'!I12</f>
        <v>1</v>
      </c>
      <c r="AK13" s="159" t="s">
        <v>131</v>
      </c>
      <c r="AL13" s="177">
        <f>'Lab descriptors of grain qualit'!C12</f>
        <v>1</v>
      </c>
      <c r="AM13" s="182" t="str">
        <f t="shared" si="4"/>
        <v>Straw</v>
      </c>
      <c r="AN13" s="179">
        <f>AVERAGE('Lab descriptors of grain qualit'!D12:M12)</f>
        <v>9.052000000000003</v>
      </c>
      <c r="AO13" s="180">
        <f>STDEV('Lab descriptors of grain qualit'!D12:M12)</f>
        <v>0.8315153502959004</v>
      </c>
      <c r="AP13" s="179">
        <f>AVERAGE('Lab descriptors of grain qualit'!N12:W12)</f>
        <v>2.585</v>
      </c>
      <c r="AQ13" s="182">
        <f>STDEV('Lab descriptors of grain qualit'!N12:W12)</f>
        <v>0.08086339647140241</v>
      </c>
      <c r="AR13" s="383">
        <f t="shared" si="0"/>
        <v>3.5017408123791114</v>
      </c>
      <c r="AS13" s="180">
        <f>AVERAGE('Lab descriptors of grain qualit'!X12:AG12)</f>
        <v>3.501308888484138</v>
      </c>
      <c r="AT13" s="384">
        <f>STDEV('Lab descriptors of grain qualit'!X12:AG12)</f>
        <v>0.2981404882548549</v>
      </c>
      <c r="AU13" s="159" t="s">
        <v>131</v>
      </c>
      <c r="AV13" s="179">
        <f>AVERAGE('Lab descriptors of grain qualit'!AI12:AR12)</f>
        <v>6.442</v>
      </c>
      <c r="AW13" s="180">
        <f>STDEV('Lab descriptors of grain qualit'!AI12:AR12)</f>
        <v>0.6953304570090626</v>
      </c>
      <c r="AX13" s="179">
        <f>AVERAGE('Lab descriptors of grain qualit'!AS12:BB12)</f>
        <v>2.1590000000000003</v>
      </c>
      <c r="AY13" s="180">
        <f>STDEV('Lab descriptors of grain qualit'!AS12:BB12)</f>
        <v>0.07015063158026971</v>
      </c>
      <c r="AZ13" s="179">
        <f>AVERAGE('Lab descriptors of grain qualit'!BC12:BL12)</f>
        <v>2.9823944325728275</v>
      </c>
      <c r="BA13" s="180">
        <f>STDEV('Lab descriptors of grain qualit'!BC12:BL12)</f>
        <v>0.2892349665074513</v>
      </c>
      <c r="BB13" s="183" t="str">
        <f t="shared" si="1"/>
        <v>Long A</v>
      </c>
      <c r="BC13" s="166">
        <f>'Lab descriptors of grain qualit'!BM12</f>
        <v>20.9</v>
      </c>
      <c r="BD13" s="184">
        <f>'Lab descriptors of grain qualit'!BO12</f>
        <v>0.6612440191387561</v>
      </c>
      <c r="BE13" s="184">
        <f>'Lab descriptors of grain qualit'!BQ12</f>
        <v>0.5502392344497608</v>
      </c>
      <c r="BF13" s="159" t="s">
        <v>131</v>
      </c>
      <c r="BG13" s="389"/>
      <c r="BH13" s="185"/>
      <c r="BI13" s="186" t="str">
        <f t="shared" si="5"/>
        <v>High</v>
      </c>
      <c r="BJ13" s="186">
        <f>'Lab descriptors of grain qu (2)'!E12</f>
        <v>6</v>
      </c>
      <c r="BK13" s="187">
        <f>'Lab descriptors of grain qu (2)'!F12</f>
        <v>0.89</v>
      </c>
      <c r="BL13" s="186">
        <f>'Lab descriptors of grain qu (2)'!G12</f>
        <v>7</v>
      </c>
      <c r="BM13" s="188">
        <f>'Lab descriptors of grain qu (2)'!H12</f>
        <v>0</v>
      </c>
      <c r="BN13" s="189">
        <f>'Lab descriptors of grain qu (2)'!I12</f>
        <v>9</v>
      </c>
      <c r="BO13" s="190">
        <f>'Lab descriptors of grain qu (2)'!K12</f>
        <v>0</v>
      </c>
      <c r="BP13" s="173"/>
      <c r="BQ13" s="477" t="s">
        <v>131</v>
      </c>
      <c r="BR13" s="480">
        <v>0</v>
      </c>
      <c r="BS13" s="483"/>
    </row>
    <row r="14" spans="1:71" ht="21">
      <c r="A14" s="90">
        <v>333</v>
      </c>
      <c r="B14" s="159" t="s">
        <v>132</v>
      </c>
      <c r="C14" s="160"/>
      <c r="D14" s="161"/>
      <c r="E14" s="162">
        <f>'Agronomic traits'!F13</f>
        <v>116</v>
      </c>
      <c r="F14" s="162"/>
      <c r="G14" s="163">
        <f>'Agronomic traits'!I13</f>
        <v>75</v>
      </c>
      <c r="H14" s="163">
        <f>'Agronomic traits'!J13</f>
        <v>9</v>
      </c>
      <c r="I14" s="163">
        <f>'Agronomic traits'!K13</f>
        <v>7</v>
      </c>
      <c r="J14" s="159">
        <f>'Agronomic traits'!L13</f>
        <v>2</v>
      </c>
      <c r="K14" s="164" t="s">
        <v>132</v>
      </c>
      <c r="L14" s="165">
        <f>'Field plant descriptors'!C13</f>
        <v>2</v>
      </c>
      <c r="M14" s="162"/>
      <c r="N14" s="162">
        <f>'Field plant descriptors'!E13</f>
        <v>2</v>
      </c>
      <c r="O14" s="162">
        <f>'Field plant descriptors'!F13</f>
        <v>1</v>
      </c>
      <c r="P14" s="166">
        <f>AVERAGE('Field plant descriptors'!G13:L13)</f>
        <v>18.76666666666667</v>
      </c>
      <c r="Q14" s="167">
        <f>STDEV('Field plant descriptors'!G13:L13)</f>
        <v>0.7089898917943565</v>
      </c>
      <c r="R14" s="168">
        <f>'Field plant descriptors'!M13</f>
        <v>5</v>
      </c>
      <c r="S14" s="169">
        <f>'Diseases (blast)'!C14</f>
        <v>3</v>
      </c>
      <c r="T14" s="170">
        <f>'Diseases (blast)'!D14</f>
        <v>1</v>
      </c>
      <c r="U14" s="171"/>
      <c r="V14" s="171"/>
      <c r="W14" s="171"/>
      <c r="X14" s="172"/>
      <c r="Y14" s="159" t="s">
        <v>132</v>
      </c>
      <c r="Z14" s="173"/>
      <c r="AA14" s="174"/>
      <c r="AB14" s="175"/>
      <c r="AC14" s="176"/>
      <c r="AD14" s="177">
        <f>'Field grain descriptors'!C13</f>
        <v>1</v>
      </c>
      <c r="AE14" s="178" t="str">
        <f t="shared" si="2"/>
        <v>Absent</v>
      </c>
      <c r="AF14" s="177">
        <f>'Field grain descriptors'!D13</f>
        <v>5</v>
      </c>
      <c r="AG14" s="179">
        <f>AVERAGE('Field grain descriptors'!E13:H13)</f>
        <v>3.045</v>
      </c>
      <c r="AH14" s="180">
        <f>STDEV('Field grain descriptors'!E13:H13)</f>
        <v>0.3323401871576776</v>
      </c>
      <c r="AI14" s="181" t="str">
        <f t="shared" si="3"/>
        <v>Long</v>
      </c>
      <c r="AJ14" s="169">
        <f>'Field grain descriptors'!I13</f>
        <v>1</v>
      </c>
      <c r="AK14" s="159" t="s">
        <v>132</v>
      </c>
      <c r="AL14" s="177">
        <f>'Lab descriptors of grain qualit'!C13</f>
        <v>3</v>
      </c>
      <c r="AM14" s="182" t="str">
        <f t="shared" si="4"/>
        <v>Gold</v>
      </c>
      <c r="AN14" s="179">
        <f>AVERAGE('Lab descriptors of grain qualit'!D13:M13)</f>
        <v>9.495000000000001</v>
      </c>
      <c r="AO14" s="180">
        <f>STDEV('Lab descriptors of grain qualit'!D13:M13)</f>
        <v>0.021213203435595972</v>
      </c>
      <c r="AP14" s="179">
        <f>AVERAGE('Lab descriptors of grain qualit'!N13:W13)</f>
        <v>2.95</v>
      </c>
      <c r="AQ14" s="182">
        <f>STDEV('Lab descriptors of grain qualit'!N13:W13)</f>
        <v>0.11313708498984137</v>
      </c>
      <c r="AR14" s="383">
        <f t="shared" si="0"/>
        <v>3.2186440677966104</v>
      </c>
      <c r="AS14" s="180">
        <f>AVERAGE('Lab descriptors of grain qualit'!X13:AG13)</f>
        <v>3.2211508607306722</v>
      </c>
      <c r="AT14" s="384">
        <f>STDEV('Lab descriptors of grain qualit'!X13:AG13)</f>
        <v>0.1307270583495744</v>
      </c>
      <c r="AU14" s="159" t="s">
        <v>132</v>
      </c>
      <c r="AV14" s="179"/>
      <c r="AW14" s="180"/>
      <c r="AX14" s="179"/>
      <c r="AY14" s="180"/>
      <c r="AZ14" s="179"/>
      <c r="BA14" s="180"/>
      <c r="BB14" s="183"/>
      <c r="BC14" s="166"/>
      <c r="BD14" s="184"/>
      <c r="BE14" s="184"/>
      <c r="BF14" s="159" t="s">
        <v>132</v>
      </c>
      <c r="BG14" s="389"/>
      <c r="BH14" s="185"/>
      <c r="BI14" s="186"/>
      <c r="BJ14" s="186"/>
      <c r="BK14" s="187"/>
      <c r="BL14" s="186"/>
      <c r="BM14" s="188"/>
      <c r="BN14" s="189"/>
      <c r="BO14" s="190"/>
      <c r="BP14" s="173"/>
      <c r="BQ14" s="477" t="s">
        <v>132</v>
      </c>
      <c r="BR14" s="480">
        <v>0</v>
      </c>
      <c r="BS14" s="483"/>
    </row>
    <row r="15" spans="1:71" ht="21">
      <c r="A15" s="90">
        <v>396</v>
      </c>
      <c r="B15" s="159" t="s">
        <v>133</v>
      </c>
      <c r="C15" s="160"/>
      <c r="D15" s="161"/>
      <c r="E15" s="162">
        <f>'Agronomic traits'!F14</f>
        <v>117</v>
      </c>
      <c r="F15" s="162">
        <f>'Agronomic traits'!H14</f>
        <v>152</v>
      </c>
      <c r="G15" s="163">
        <f>'Agronomic traits'!I14</f>
        <v>75</v>
      </c>
      <c r="H15" s="163">
        <f>'Agronomic traits'!J14</f>
        <v>9</v>
      </c>
      <c r="I15" s="163">
        <f>'Agronomic traits'!K14</f>
        <v>7</v>
      </c>
      <c r="J15" s="159">
        <f>'Agronomic traits'!L14</f>
        <v>2</v>
      </c>
      <c r="K15" s="164" t="s">
        <v>133</v>
      </c>
      <c r="L15" s="165">
        <f>'Field plant descriptors'!C14</f>
        <v>2</v>
      </c>
      <c r="M15" s="162"/>
      <c r="N15" s="162">
        <f>'Field plant descriptors'!E14</f>
        <v>1</v>
      </c>
      <c r="O15" s="162">
        <f>'Field plant descriptors'!F14</f>
        <v>3</v>
      </c>
      <c r="P15" s="166">
        <f>AVERAGE('Field plant descriptors'!G14:L14)</f>
        <v>20.825</v>
      </c>
      <c r="Q15" s="167">
        <f>STDEV('Field plant descriptors'!G14:L14)</f>
        <v>1.2065791865158932</v>
      </c>
      <c r="R15" s="168">
        <f>'Field plant descriptors'!M14</f>
        <v>3</v>
      </c>
      <c r="S15" s="169">
        <f>'Diseases (blast)'!C15</f>
        <v>1</v>
      </c>
      <c r="T15" s="170">
        <f>'Diseases (blast)'!D15</f>
        <v>1</v>
      </c>
      <c r="U15" s="171"/>
      <c r="V15" s="171"/>
      <c r="W15" s="171"/>
      <c r="X15" s="172"/>
      <c r="Y15" s="159" t="s">
        <v>133</v>
      </c>
      <c r="Z15" s="173"/>
      <c r="AA15" s="174"/>
      <c r="AB15" s="175"/>
      <c r="AC15" s="176"/>
      <c r="AD15" s="177">
        <f>'Field grain descriptors'!C14</f>
        <v>9</v>
      </c>
      <c r="AE15" s="178" t="str">
        <f t="shared" si="2"/>
        <v>Present</v>
      </c>
      <c r="AF15" s="177">
        <f>'Field grain descriptors'!D14</f>
        <v>5</v>
      </c>
      <c r="AG15" s="179">
        <f>AVERAGE('Field grain descriptors'!E14:H14)</f>
        <v>2.6025</v>
      </c>
      <c r="AH15" s="180">
        <f>STDEV('Field grain descriptors'!E14:H14)</f>
        <v>0.8300351398183894</v>
      </c>
      <c r="AI15" s="181" t="str">
        <f t="shared" si="3"/>
        <v>Long</v>
      </c>
      <c r="AJ15" s="169">
        <f>'Field grain descriptors'!I14</f>
        <v>1</v>
      </c>
      <c r="AK15" s="159" t="s">
        <v>133</v>
      </c>
      <c r="AL15" s="177">
        <f>'Lab descriptors of grain qualit'!C14</f>
        <v>1</v>
      </c>
      <c r="AM15" s="182" t="str">
        <f t="shared" si="4"/>
        <v>Straw</v>
      </c>
      <c r="AN15" s="179">
        <f>AVERAGE('Lab descriptors of grain qualit'!D14:M14)</f>
        <v>9.149999999999999</v>
      </c>
      <c r="AO15" s="180">
        <f>STDEV('Lab descriptors of grain qualit'!D14:M14)</f>
        <v>0.39539010272560304</v>
      </c>
      <c r="AP15" s="179">
        <f>AVERAGE('Lab descriptors of grain qualit'!N14:W14)</f>
        <v>2.525</v>
      </c>
      <c r="AQ15" s="182">
        <f>STDEV('Lab descriptors of grain qualit'!N14:W14)</f>
        <v>0.12340088240275275</v>
      </c>
      <c r="AR15" s="383">
        <f t="shared" si="0"/>
        <v>3.6237623762376234</v>
      </c>
      <c r="AS15" s="180">
        <f>AVERAGE('Lab descriptors of grain qualit'!X14:AG14)</f>
        <v>3.632525009731375</v>
      </c>
      <c r="AT15" s="384">
        <f>STDEV('Lab descriptors of grain qualit'!X14:AG14)</f>
        <v>0.24924233045220337</v>
      </c>
      <c r="AU15" s="159" t="s">
        <v>133</v>
      </c>
      <c r="AV15" s="179">
        <f>AVERAGE('Lab descriptors of grain qualit'!AI14:AR14)</f>
        <v>6.568</v>
      </c>
      <c r="AW15" s="180">
        <f>STDEV('Lab descriptors of grain qualit'!AI14:AR14)</f>
        <v>0.3427924542149111</v>
      </c>
      <c r="AX15" s="179">
        <f>AVERAGE('Lab descriptors of grain qualit'!AS14:BB14)</f>
        <v>2.0349999999999997</v>
      </c>
      <c r="AY15" s="180">
        <f>STDEV('Lab descriptors of grain qualit'!AS14:BB14)</f>
        <v>0.059301489582196436</v>
      </c>
      <c r="AZ15" s="179">
        <f>AVERAGE('Lab descriptors of grain qualit'!BC14:BL14)</f>
        <v>3.226198939548651</v>
      </c>
      <c r="BA15" s="180">
        <f>STDEV('Lab descriptors of grain qualit'!BC14:BL14)</f>
        <v>0.1017493303351016</v>
      </c>
      <c r="BB15" s="183" t="str">
        <f>IF(AND(AV15&lt;=5.2,AZ15&lt;2),"Round",IF(AND(AV15&gt;6,AZ15&lt;3),"Long A",IF(AND(AV15&gt;6,AZ15&gt;3),"Long B","Medium")))</f>
        <v>Long B</v>
      </c>
      <c r="BC15" s="166">
        <f>'Lab descriptors of grain qualit'!BM14</f>
        <v>18.799999999999997</v>
      </c>
      <c r="BD15" s="184">
        <f>'Lab descriptors of grain qualit'!BO14</f>
        <v>0.6755319148936171</v>
      </c>
      <c r="BE15" s="184">
        <f>'Lab descriptors of grain qualit'!BQ14</f>
        <v>0.4308510638297874</v>
      </c>
      <c r="BF15" s="159" t="s">
        <v>133</v>
      </c>
      <c r="BG15" s="389"/>
      <c r="BH15" s="185"/>
      <c r="BI15" s="186" t="str">
        <f t="shared" si="5"/>
        <v>High</v>
      </c>
      <c r="BJ15" s="186">
        <f>'Lab descriptors of grain qu (2)'!E14</f>
        <v>6</v>
      </c>
      <c r="BK15" s="187">
        <f>'Lab descriptors of grain qu (2)'!F14</f>
        <v>0.22</v>
      </c>
      <c r="BL15" s="186">
        <f>'Lab descriptors of grain qu (2)'!G14</f>
        <v>1</v>
      </c>
      <c r="BM15" s="188">
        <f>'Lab descriptors of grain qu (2)'!H14</f>
        <v>0</v>
      </c>
      <c r="BN15" s="189">
        <f>'Lab descriptors of grain qu (2)'!I14</f>
        <v>1</v>
      </c>
      <c r="BO15" s="190">
        <f>'Lab descriptors of grain qu (2)'!K14</f>
        <v>0</v>
      </c>
      <c r="BP15" s="173"/>
      <c r="BQ15" s="477" t="s">
        <v>133</v>
      </c>
      <c r="BR15" s="480">
        <v>0</v>
      </c>
      <c r="BS15" s="483"/>
    </row>
    <row r="16" spans="1:71" ht="21">
      <c r="A16" s="90">
        <v>476</v>
      </c>
      <c r="B16" s="159" t="s">
        <v>134</v>
      </c>
      <c r="C16" s="160"/>
      <c r="D16" s="161"/>
      <c r="E16" s="162">
        <f>'Agronomic traits'!F15</f>
        <v>107</v>
      </c>
      <c r="F16" s="162">
        <f>'Agronomic traits'!H15</f>
        <v>138</v>
      </c>
      <c r="G16" s="163">
        <f>'Agronomic traits'!I15</f>
        <v>88</v>
      </c>
      <c r="H16" s="163">
        <f>'Agronomic traits'!J15</f>
        <v>9</v>
      </c>
      <c r="I16" s="163">
        <f>'Agronomic traits'!K15</f>
        <v>1</v>
      </c>
      <c r="J16" s="159">
        <f>'Agronomic traits'!L15</f>
        <v>6</v>
      </c>
      <c r="K16" s="164" t="s">
        <v>134</v>
      </c>
      <c r="L16" s="165">
        <f>'Field plant descriptors'!C15</f>
        <v>2</v>
      </c>
      <c r="M16" s="162"/>
      <c r="N16" s="162">
        <f>'Field plant descriptors'!E15</f>
        <v>2</v>
      </c>
      <c r="O16" s="162">
        <f>'Field plant descriptors'!F15</f>
        <v>3</v>
      </c>
      <c r="P16" s="166">
        <f>AVERAGE('Field plant descriptors'!G15:L15)</f>
        <v>20.483333333333334</v>
      </c>
      <c r="Q16" s="167">
        <f>STDEV('Field plant descriptors'!G15:L15)</f>
        <v>3.761604267685079</v>
      </c>
      <c r="R16" s="168">
        <f>'Field plant descriptors'!M15</f>
        <v>5</v>
      </c>
      <c r="S16" s="169">
        <f>'Diseases (blast)'!C16</f>
        <v>1</v>
      </c>
      <c r="T16" s="170">
        <f>'Diseases (blast)'!D16</f>
        <v>1</v>
      </c>
      <c r="U16" s="171"/>
      <c r="V16" s="171"/>
      <c r="W16" s="171"/>
      <c r="X16" s="172"/>
      <c r="Y16" s="159" t="s">
        <v>134</v>
      </c>
      <c r="Z16" s="173"/>
      <c r="AA16" s="174"/>
      <c r="AB16" s="175"/>
      <c r="AC16" s="176"/>
      <c r="AD16" s="177">
        <f>'Field grain descriptors'!C15</f>
        <v>1</v>
      </c>
      <c r="AE16" s="178" t="str">
        <f t="shared" si="2"/>
        <v>Absent</v>
      </c>
      <c r="AF16" s="177">
        <f>'Field grain descriptors'!D15</f>
        <v>1</v>
      </c>
      <c r="AG16" s="179">
        <f>AVERAGE('Field grain descriptors'!E15:H15)</f>
        <v>2.335</v>
      </c>
      <c r="AH16" s="180">
        <f>STDEV('Field grain descriptors'!E15:H15)</f>
        <v>0.32521787568746535</v>
      </c>
      <c r="AI16" s="181" t="str">
        <f t="shared" si="3"/>
        <v>Medium</v>
      </c>
      <c r="AJ16" s="169">
        <f>'Field grain descriptors'!I15</f>
        <v>1</v>
      </c>
      <c r="AK16" s="159" t="s">
        <v>134</v>
      </c>
      <c r="AL16" s="177">
        <f>'Lab descriptors of grain qualit'!C15</f>
        <v>1</v>
      </c>
      <c r="AM16" s="182" t="str">
        <f t="shared" si="4"/>
        <v>Straw</v>
      </c>
      <c r="AN16" s="179">
        <f>AVERAGE('Lab descriptors of grain qualit'!D15:M15)</f>
        <v>9.657</v>
      </c>
      <c r="AO16" s="180">
        <f>STDEV('Lab descriptors of grain qualit'!D15:M15)</f>
        <v>0.44572163709851037</v>
      </c>
      <c r="AP16" s="179">
        <f>AVERAGE('Lab descriptors of grain qualit'!N15:W15)</f>
        <v>2.937</v>
      </c>
      <c r="AQ16" s="182">
        <f>STDEV('Lab descriptors of grain qualit'!N15:W15)</f>
        <v>0.1270214330120909</v>
      </c>
      <c r="AR16" s="383">
        <f t="shared" si="0"/>
        <v>3.2880490296220635</v>
      </c>
      <c r="AS16" s="180">
        <f>AVERAGE('Lab descriptors of grain qualit'!X15:AG15)</f>
        <v>3.292474332944658</v>
      </c>
      <c r="AT16" s="384">
        <f>STDEV('Lab descriptors of grain qualit'!X15:AG15)</f>
        <v>0.1864540387847833</v>
      </c>
      <c r="AU16" s="159" t="s">
        <v>134</v>
      </c>
      <c r="AV16" s="179">
        <f>AVERAGE('Lab descriptors of grain qualit'!AI15:AR15)</f>
        <v>7.107999999999999</v>
      </c>
      <c r="AW16" s="180">
        <f>STDEV('Lab descriptors of grain qualit'!AI15:AR15)</f>
        <v>0.34515053076723995</v>
      </c>
      <c r="AX16" s="179">
        <f>AVERAGE('Lab descriptors of grain qualit'!AS15:BB15)</f>
        <v>2.4349999999999996</v>
      </c>
      <c r="AY16" s="180">
        <f>STDEV('Lab descriptors of grain qualit'!AS15:BB15)</f>
        <v>0.07677528537521118</v>
      </c>
      <c r="AZ16" s="179">
        <f>AVERAGE('Lab descriptors of grain qualit'!BC15:BL15)</f>
        <v>2.922176100672184</v>
      </c>
      <c r="BA16" s="180">
        <f>STDEV('Lab descriptors of grain qualit'!BC15:BL15)</f>
        <v>0.17999358060630297</v>
      </c>
      <c r="BB16" s="183" t="str">
        <f>IF(AND(AV16&lt;=5.2,AZ16&lt;2),"Round",IF(AND(AV16&gt;6,AZ16&lt;3),"Long A",IF(AND(AV16&gt;6,AZ16&gt;3),"Long B","Medium")))</f>
        <v>Long A</v>
      </c>
      <c r="BC16" s="166">
        <f>'Lab descriptors of grain qualit'!BM15</f>
        <v>26.55</v>
      </c>
      <c r="BD16" s="184">
        <f>'Lab descriptors of grain qualit'!BO15</f>
        <v>0.7073446327683616</v>
      </c>
      <c r="BE16" s="184">
        <f>'Lab descriptors of grain qualit'!BQ15</f>
        <v>0.6482109227871939</v>
      </c>
      <c r="BF16" s="159" t="s">
        <v>134</v>
      </c>
      <c r="BG16" s="386">
        <v>22.63</v>
      </c>
      <c r="BH16" s="185"/>
      <c r="BI16" s="186" t="str">
        <f t="shared" si="5"/>
        <v>High</v>
      </c>
      <c r="BJ16" s="186">
        <f>'Lab descriptors of grain qu (2)'!E15</f>
        <v>6</v>
      </c>
      <c r="BK16" s="187">
        <f>'Lab descriptors of grain qu (2)'!F15</f>
        <v>0.99</v>
      </c>
      <c r="BL16" s="186">
        <f>'Lab descriptors of grain qu (2)'!G15</f>
        <v>7</v>
      </c>
      <c r="BM16" s="188">
        <f>'Lab descriptors of grain qu (2)'!H15</f>
        <v>0</v>
      </c>
      <c r="BN16" s="189">
        <f>'Lab descriptors of grain qu (2)'!I15</f>
        <v>9</v>
      </c>
      <c r="BO16" s="190">
        <f>'Lab descriptors of grain qu (2)'!K15</f>
        <v>0</v>
      </c>
      <c r="BP16" s="173"/>
      <c r="BQ16" s="477" t="s">
        <v>134</v>
      </c>
      <c r="BR16" s="480">
        <v>0</v>
      </c>
      <c r="BS16" s="483"/>
    </row>
    <row r="17" spans="1:71" ht="21">
      <c r="A17" s="90">
        <v>477</v>
      </c>
      <c r="B17" s="159" t="s">
        <v>135</v>
      </c>
      <c r="C17" s="160"/>
      <c r="D17" s="161"/>
      <c r="E17" s="162">
        <f>'Agronomic traits'!F16</f>
        <v>96</v>
      </c>
      <c r="F17" s="162">
        <f>'Agronomic traits'!H16</f>
        <v>139</v>
      </c>
      <c r="G17" s="163">
        <f>'Agronomic traits'!I16</f>
        <v>98</v>
      </c>
      <c r="H17" s="163">
        <f>'Agronomic traits'!J16</f>
        <v>9</v>
      </c>
      <c r="I17" s="163">
        <f>'Agronomic traits'!K16</f>
        <v>4</v>
      </c>
      <c r="J17" s="159">
        <f>'Agronomic traits'!L16</f>
        <v>6</v>
      </c>
      <c r="K17" s="164" t="s">
        <v>135</v>
      </c>
      <c r="L17" s="165">
        <f>'Field plant descriptors'!C16</f>
        <v>6</v>
      </c>
      <c r="M17" s="162"/>
      <c r="N17" s="162">
        <f>'Field plant descriptors'!E16</f>
        <v>4</v>
      </c>
      <c r="O17" s="162">
        <f>'Field plant descriptors'!F16</f>
        <v>3</v>
      </c>
      <c r="P17" s="166">
        <f>AVERAGE('Field plant descriptors'!G16:L16)</f>
        <v>21.666666666666668</v>
      </c>
      <c r="Q17" s="167">
        <f>STDEV('Field plant descriptors'!G16:L16)</f>
        <v>1.433410850617023</v>
      </c>
      <c r="R17" s="168">
        <f>'Field plant descriptors'!M16</f>
        <v>7</v>
      </c>
      <c r="S17" s="169" t="str">
        <f>'Diseases (blast)'!C18</f>
        <v>N/A</v>
      </c>
      <c r="T17" s="170" t="str">
        <f>'Diseases (blast)'!D18</f>
        <v>N/A</v>
      </c>
      <c r="U17" s="171"/>
      <c r="V17" s="171"/>
      <c r="W17" s="171"/>
      <c r="X17" s="172"/>
      <c r="Y17" s="159" t="s">
        <v>135</v>
      </c>
      <c r="Z17" s="173"/>
      <c r="AA17" s="174"/>
      <c r="AB17" s="175"/>
      <c r="AC17" s="176"/>
      <c r="AD17" s="177">
        <f>'Field grain descriptors'!C16</f>
        <v>1</v>
      </c>
      <c r="AE17" s="178" t="str">
        <f t="shared" si="2"/>
        <v>Absent</v>
      </c>
      <c r="AF17" s="177">
        <f>'Field grain descriptors'!D16</f>
        <v>5</v>
      </c>
      <c r="AG17" s="179">
        <f>AVERAGE('Field grain descriptors'!E16:H16)</f>
        <v>2.655</v>
      </c>
      <c r="AH17" s="180">
        <f>STDEV('Field grain descriptors'!E16:H16)</f>
        <v>0.18083141320025337</v>
      </c>
      <c r="AI17" s="181" t="str">
        <f t="shared" si="3"/>
        <v>Long</v>
      </c>
      <c r="AJ17" s="169">
        <f>'Field grain descriptors'!I16</f>
        <v>1</v>
      </c>
      <c r="AK17" s="159" t="s">
        <v>135</v>
      </c>
      <c r="AL17" s="177">
        <f>'Lab descriptors of grain qualit'!C16</f>
        <v>3</v>
      </c>
      <c r="AM17" s="182" t="str">
        <f t="shared" si="4"/>
        <v>Gold</v>
      </c>
      <c r="AN17" s="179">
        <f>AVERAGE('Lab descriptors of grain qualit'!D16:M16)</f>
        <v>10.211</v>
      </c>
      <c r="AO17" s="180">
        <f>STDEV('Lab descriptors of grain qualit'!D16:M16)</f>
        <v>0.5481169785932535</v>
      </c>
      <c r="AP17" s="179">
        <f>AVERAGE('Lab descriptors of grain qualit'!N16:W16)</f>
        <v>3.3369999999999997</v>
      </c>
      <c r="AQ17" s="182">
        <f>STDEV('Lab descriptors of grain qualit'!N16:W16)</f>
        <v>0.13589620221985638</v>
      </c>
      <c r="AR17" s="383">
        <f t="shared" si="0"/>
        <v>3.059934072520228</v>
      </c>
      <c r="AS17" s="180">
        <f>AVERAGE('Lab descriptors of grain qualit'!X16:AG16)</f>
        <v>3.0595867483005876</v>
      </c>
      <c r="AT17" s="384">
        <f>STDEV('Lab descriptors of grain qualit'!X16:AG16)</f>
        <v>0.10093558082239652</v>
      </c>
      <c r="AU17" s="159" t="s">
        <v>135</v>
      </c>
      <c r="AV17" s="179">
        <f>AVERAGE('Lab descriptors of grain qualit'!AI16:AR16)</f>
        <v>7.421000000000001</v>
      </c>
      <c r="AW17" s="180">
        <f>STDEV('Lab descriptors of grain qualit'!AI16:AR16)</f>
        <v>0.39300692671305804</v>
      </c>
      <c r="AX17" s="179">
        <f>AVERAGE('Lab descriptors of grain qualit'!AS16:BB16)</f>
        <v>2.835</v>
      </c>
      <c r="AY17" s="180">
        <f>STDEV('Lab descriptors of grain qualit'!AS16:BB16)</f>
        <v>0.1318458696104495</v>
      </c>
      <c r="AZ17" s="179">
        <f>AVERAGE('Lab descriptors of grain qualit'!BC16:BL16)</f>
        <v>2.618450007669291</v>
      </c>
      <c r="BA17" s="180">
        <f>STDEV('Lab descriptors of grain qualit'!BC16:BL16)</f>
        <v>0.09407324613893078</v>
      </c>
      <c r="BB17" s="183" t="str">
        <f>IF(AND(AV17&lt;=5.2,AZ17&lt;2),"Round",IF(AND(AV17&gt;6,AZ17&lt;3),"Long A",IF(AND(AV17&gt;6,AZ17&gt;3),"Long B","Medium")))</f>
        <v>Long A</v>
      </c>
      <c r="BC17" s="166">
        <f>'Lab descriptors of grain qualit'!BM16</f>
        <v>33.3</v>
      </c>
      <c r="BD17" s="184">
        <f>'Lab descriptors of grain qualit'!BO16</f>
        <v>0.6825825825825826</v>
      </c>
      <c r="BE17" s="184">
        <f>'Lab descriptors of grain qualit'!BQ16</f>
        <v>0.4945945945945946</v>
      </c>
      <c r="BF17" s="159" t="s">
        <v>135</v>
      </c>
      <c r="BG17" s="387">
        <v>19.35</v>
      </c>
      <c r="BH17" s="185"/>
      <c r="BI17" s="186" t="str">
        <f t="shared" si="5"/>
        <v>Intermediate</v>
      </c>
      <c r="BJ17" s="186">
        <f>'Lab descriptors of grain qu (2)'!E16</f>
        <v>5</v>
      </c>
      <c r="BK17" s="187">
        <f>'Lab descriptors of grain qu (2)'!F16</f>
        <v>1</v>
      </c>
      <c r="BL17" s="186">
        <f>'Lab descriptors of grain qu (2)'!G16</f>
        <v>7</v>
      </c>
      <c r="BM17" s="188">
        <f>'Lab descriptors of grain qu (2)'!H16</f>
        <v>9</v>
      </c>
      <c r="BN17" s="189">
        <f>'Lab descriptors of grain qu (2)'!I16</f>
        <v>0</v>
      </c>
      <c r="BO17" s="190">
        <f>'Lab descriptors of grain qu (2)'!K16</f>
        <v>0</v>
      </c>
      <c r="BP17" s="173"/>
      <c r="BQ17" s="477" t="s">
        <v>135</v>
      </c>
      <c r="BR17" s="480">
        <v>0</v>
      </c>
      <c r="BS17" s="483"/>
    </row>
    <row r="18" spans="1:71" ht="21">
      <c r="A18" s="90">
        <v>481</v>
      </c>
      <c r="B18" s="159" t="s">
        <v>136</v>
      </c>
      <c r="C18" s="160"/>
      <c r="D18" s="161"/>
      <c r="E18" s="162">
        <f>'Agronomic traits'!F17</f>
        <v>92</v>
      </c>
      <c r="F18" s="162">
        <f>'Agronomic traits'!H17</f>
        <v>137</v>
      </c>
      <c r="G18" s="163">
        <f>'Agronomic traits'!I17</f>
        <v>85</v>
      </c>
      <c r="H18" s="163">
        <f>'Agronomic traits'!J17</f>
        <v>6</v>
      </c>
      <c r="I18" s="163">
        <f>'Agronomic traits'!K17</f>
        <v>7</v>
      </c>
      <c r="J18" s="159">
        <f>'Agronomic traits'!L17</f>
        <v>6</v>
      </c>
      <c r="K18" s="164" t="s">
        <v>136</v>
      </c>
      <c r="L18" s="165">
        <f>'Field plant descriptors'!C17</f>
        <v>2</v>
      </c>
      <c r="M18" s="162"/>
      <c r="N18" s="162">
        <f>'Field plant descriptors'!E17</f>
        <v>2</v>
      </c>
      <c r="O18" s="162">
        <f>'Field plant descriptors'!F17</f>
        <v>3</v>
      </c>
      <c r="P18" s="166">
        <f>AVERAGE('Field plant descriptors'!G17:L17)</f>
        <v>18.88333333333333</v>
      </c>
      <c r="Q18" s="167">
        <f>STDEV('Field plant descriptors'!G17:L17)</f>
        <v>1.2998717885494844</v>
      </c>
      <c r="R18" s="168">
        <f>'Field plant descriptors'!M17</f>
        <v>5</v>
      </c>
      <c r="S18" s="169">
        <f>'Diseases (blast)'!C19</f>
        <v>5</v>
      </c>
      <c r="T18" s="170">
        <f>'Diseases (blast)'!D19</f>
        <v>2</v>
      </c>
      <c r="U18" s="171"/>
      <c r="V18" s="171"/>
      <c r="W18" s="171"/>
      <c r="X18" s="172"/>
      <c r="Y18" s="159" t="s">
        <v>136</v>
      </c>
      <c r="Z18" s="173"/>
      <c r="AA18" s="174"/>
      <c r="AB18" s="175"/>
      <c r="AC18" s="176"/>
      <c r="AD18" s="177">
        <f>'Field grain descriptors'!C17</f>
        <v>1</v>
      </c>
      <c r="AE18" s="178" t="str">
        <f t="shared" si="2"/>
        <v>Absent</v>
      </c>
      <c r="AF18" s="177">
        <f>'Field grain descriptors'!D17</f>
        <v>3</v>
      </c>
      <c r="AG18" s="179">
        <f>AVERAGE('Field grain descriptors'!E17:H17)</f>
        <v>2.7700000000000005</v>
      </c>
      <c r="AH18" s="180">
        <f>STDEV('Field grain descriptors'!E17:H17)</f>
        <v>0.2967602848540618</v>
      </c>
      <c r="AI18" s="181" t="str">
        <f t="shared" si="3"/>
        <v>Long</v>
      </c>
      <c r="AJ18" s="169">
        <f>'Field grain descriptors'!I17</f>
        <v>1</v>
      </c>
      <c r="AK18" s="159" t="s">
        <v>136</v>
      </c>
      <c r="AL18" s="177">
        <f>'Lab descriptors of grain qualit'!C17</f>
        <v>3</v>
      </c>
      <c r="AM18" s="182" t="str">
        <f t="shared" si="4"/>
        <v>Gold</v>
      </c>
      <c r="AN18" s="179">
        <f>AVERAGE('Lab descriptors of grain qualit'!D17:M17)</f>
        <v>8.251000000000001</v>
      </c>
      <c r="AO18" s="180">
        <f>STDEV('Lab descriptors of grain qualit'!D17:M17)</f>
        <v>0.43015371929369617</v>
      </c>
      <c r="AP18" s="179">
        <f>AVERAGE('Lab descriptors of grain qualit'!N17:W17)</f>
        <v>3.4130000000000003</v>
      </c>
      <c r="AQ18" s="182">
        <f>STDEV('Lab descriptors of grain qualit'!N17:W17)</f>
        <v>0.1725012077252353</v>
      </c>
      <c r="AR18" s="383">
        <f t="shared" si="0"/>
        <v>2.4175212423088195</v>
      </c>
      <c r="AS18" s="180">
        <f>AVERAGE('Lab descriptors of grain qualit'!X17:AG17)</f>
        <v>2.4180992344821606</v>
      </c>
      <c r="AT18" s="384">
        <f>STDEV('Lab descriptors of grain qualit'!X17:AG17)</f>
        <v>0.06085857518293411</v>
      </c>
      <c r="AU18" s="159" t="s">
        <v>136</v>
      </c>
      <c r="AV18" s="179">
        <f>AVERAGE('Lab descriptors of grain qualit'!AI17:AR17)</f>
        <v>5.8790000000000004</v>
      </c>
      <c r="AW18" s="180">
        <f>STDEV('Lab descriptors of grain qualit'!AI17:AR17)</f>
        <v>0.2311541092479393</v>
      </c>
      <c r="AX18" s="179">
        <f>AVERAGE('Lab descriptors of grain qualit'!AS17:BB17)</f>
        <v>2.886</v>
      </c>
      <c r="AY18" s="180">
        <f>STDEV('Lab descriptors of grain qualit'!AS17:BB17)</f>
        <v>0.11452316602136875</v>
      </c>
      <c r="AZ18" s="179">
        <f>AVERAGE('Lab descriptors of grain qualit'!BC17:BL17)</f>
        <v>2.038400508417383</v>
      </c>
      <c r="BA18" s="180">
        <f>STDEV('Lab descriptors of grain qualit'!BC17:BL17)</f>
        <v>0.07835468485986595</v>
      </c>
      <c r="BB18" s="183" t="str">
        <f>IF(AND(AV18&lt;=5.2,AZ18&lt;2),"Round",IF(AND(AV18&gt;6,AZ18&lt;3),"Long A",IF(AND(AV18&gt;6,AZ18&gt;3),"Long B","Medium")))</f>
        <v>Medium</v>
      </c>
      <c r="BC18" s="166">
        <f>'Lab descriptors of grain qualit'!BM17</f>
        <v>13.68</v>
      </c>
      <c r="BD18" s="184">
        <f>'Lab descriptors of grain qualit'!BO17</f>
        <v>0.6425438596491228</v>
      </c>
      <c r="BE18" s="184">
        <f>'Lab descriptors of grain qualit'!BQ17</f>
        <v>0.5380116959064328</v>
      </c>
      <c r="BF18" s="159" t="s">
        <v>136</v>
      </c>
      <c r="BG18" s="389"/>
      <c r="BH18" s="185"/>
      <c r="BI18" s="186" t="str">
        <f t="shared" si="5"/>
        <v>Intermediate</v>
      </c>
      <c r="BJ18" s="186">
        <f>'Lab descriptors of grain qu (2)'!E17</f>
        <v>5</v>
      </c>
      <c r="BK18" s="187">
        <f>'Lab descriptors of grain qu (2)'!F17</f>
        <v>1</v>
      </c>
      <c r="BL18" s="186">
        <f>'Lab descriptors of grain qu (2)'!G17</f>
        <v>7</v>
      </c>
      <c r="BM18" s="188">
        <f>'Lab descriptors of grain qu (2)'!H17</f>
        <v>0</v>
      </c>
      <c r="BN18" s="189">
        <f>'Lab descriptors of grain qu (2)'!I17</f>
        <v>9</v>
      </c>
      <c r="BO18" s="190">
        <f>'Lab descriptors of grain qu (2)'!K17</f>
        <v>0</v>
      </c>
      <c r="BP18" s="173"/>
      <c r="BQ18" s="477" t="s">
        <v>136</v>
      </c>
      <c r="BR18" s="480">
        <v>0.5</v>
      </c>
      <c r="BS18" s="483"/>
    </row>
    <row r="19" spans="1:71" ht="21">
      <c r="A19" s="90">
        <v>500</v>
      </c>
      <c r="B19" s="159" t="s">
        <v>137</v>
      </c>
      <c r="C19" s="160"/>
      <c r="D19" s="161"/>
      <c r="E19" s="162">
        <f>'Agronomic traits'!F18</f>
        <v>128</v>
      </c>
      <c r="F19" s="162"/>
      <c r="G19" s="163">
        <f>'Agronomic traits'!I18</f>
        <v>75</v>
      </c>
      <c r="H19" s="163">
        <f>'Agronomic traits'!J18</f>
        <v>9</v>
      </c>
      <c r="I19" s="163">
        <f>'Agronomic traits'!K18</f>
        <v>7</v>
      </c>
      <c r="J19" s="159">
        <f>'Agronomic traits'!L18</f>
        <v>2</v>
      </c>
      <c r="K19" s="164" t="s">
        <v>137</v>
      </c>
      <c r="L19" s="165">
        <f>'Field plant descriptors'!C18</f>
        <v>4</v>
      </c>
      <c r="M19" s="162"/>
      <c r="N19" s="162">
        <f>'Field plant descriptors'!E18</f>
        <v>4</v>
      </c>
      <c r="O19" s="162">
        <f>'Field plant descriptors'!F18</f>
        <v>1</v>
      </c>
      <c r="P19" s="166">
        <f>AVERAGE('Field plant descriptors'!G18:L18)</f>
        <v>20.53333333333333</v>
      </c>
      <c r="Q19" s="167">
        <f>STDEV('Field plant descriptors'!G18:L18)</f>
        <v>1.1552777443830233</v>
      </c>
      <c r="R19" s="168">
        <f>'Field plant descriptors'!M18</f>
        <v>5</v>
      </c>
      <c r="S19" s="169">
        <f>'Diseases (blast)'!C20</f>
        <v>3</v>
      </c>
      <c r="T19" s="170">
        <f>'Diseases (blast)'!D20</f>
        <v>1</v>
      </c>
      <c r="U19" s="171"/>
      <c r="V19" s="171"/>
      <c r="W19" s="171"/>
      <c r="X19" s="172"/>
      <c r="Y19" s="159" t="s">
        <v>137</v>
      </c>
      <c r="Z19" s="173"/>
      <c r="AA19" s="174"/>
      <c r="AB19" s="175"/>
      <c r="AC19" s="176"/>
      <c r="AD19" s="177">
        <f>'Field grain descriptors'!C18</f>
        <v>9</v>
      </c>
      <c r="AE19" s="178" t="str">
        <f t="shared" si="2"/>
        <v>Present</v>
      </c>
      <c r="AF19" s="177">
        <f>'Field grain descriptors'!D18</f>
        <v>1</v>
      </c>
      <c r="AG19" s="179">
        <f>AVERAGE('Field grain descriptors'!E18:H18)</f>
        <v>2.3249999999999997</v>
      </c>
      <c r="AH19" s="180">
        <f>STDEV('Field grain descriptors'!E18:H18)</f>
        <v>0.8144732449053604</v>
      </c>
      <c r="AI19" s="181" t="str">
        <f t="shared" si="3"/>
        <v>Medium</v>
      </c>
      <c r="AJ19" s="169">
        <f>'Field grain descriptors'!I18</f>
        <v>7</v>
      </c>
      <c r="AK19" s="159" t="s">
        <v>137</v>
      </c>
      <c r="AL19" s="177"/>
      <c r="AM19" s="182"/>
      <c r="AN19" s="179"/>
      <c r="AO19" s="180"/>
      <c r="AP19" s="179"/>
      <c r="AQ19" s="182"/>
      <c r="AR19" s="383"/>
      <c r="AS19" s="180"/>
      <c r="AT19" s="384"/>
      <c r="AU19" s="159" t="s">
        <v>137</v>
      </c>
      <c r="AV19" s="179"/>
      <c r="AW19" s="180"/>
      <c r="AX19" s="179"/>
      <c r="AY19" s="180"/>
      <c r="AZ19" s="179"/>
      <c r="BA19" s="180"/>
      <c r="BB19" s="183"/>
      <c r="BC19" s="166"/>
      <c r="BD19" s="184"/>
      <c r="BE19" s="184"/>
      <c r="BF19" s="159" t="s">
        <v>137</v>
      </c>
      <c r="BG19" s="389"/>
      <c r="BH19" s="185"/>
      <c r="BI19" s="186"/>
      <c r="BJ19" s="186"/>
      <c r="BK19" s="187"/>
      <c r="BL19" s="186"/>
      <c r="BM19" s="188"/>
      <c r="BN19" s="189"/>
      <c r="BO19" s="190"/>
      <c r="BP19" s="173"/>
      <c r="BQ19" s="477" t="s">
        <v>137</v>
      </c>
      <c r="BR19" s="480">
        <v>0</v>
      </c>
      <c r="BS19" s="483"/>
    </row>
    <row r="20" spans="1:71" ht="21">
      <c r="A20" s="90">
        <v>501</v>
      </c>
      <c r="B20" s="159" t="s">
        <v>138</v>
      </c>
      <c r="C20" s="160"/>
      <c r="D20" s="161"/>
      <c r="E20" s="162">
        <f>'Agronomic traits'!F19</f>
        <v>97</v>
      </c>
      <c r="F20" s="162">
        <f>'Agronomic traits'!H19</f>
        <v>137</v>
      </c>
      <c r="G20" s="163">
        <f>'Agronomic traits'!I19</f>
        <v>61</v>
      </c>
      <c r="H20" s="163">
        <f>'Agronomic traits'!J19</f>
        <v>9</v>
      </c>
      <c r="I20" s="163">
        <f>'Agronomic traits'!K19</f>
        <v>1</v>
      </c>
      <c r="J20" s="159">
        <f>'Agronomic traits'!L19</f>
        <v>2</v>
      </c>
      <c r="K20" s="164" t="s">
        <v>138</v>
      </c>
      <c r="L20" s="165">
        <f>'Field plant descriptors'!C19</f>
        <v>2</v>
      </c>
      <c r="M20" s="162"/>
      <c r="N20" s="162">
        <f>'Field plant descriptors'!E19</f>
        <v>2</v>
      </c>
      <c r="O20" s="162">
        <f>'Field plant descriptors'!F19</f>
        <v>2</v>
      </c>
      <c r="P20" s="166">
        <f>AVERAGE('Field plant descriptors'!G19:L19)</f>
        <v>16.5</v>
      </c>
      <c r="Q20" s="167">
        <f>STDEV('Field plant descriptors'!G19:L19)</f>
        <v>1.4926486525636147</v>
      </c>
      <c r="R20" s="168">
        <f>'Field plant descriptors'!M19</f>
        <v>5</v>
      </c>
      <c r="S20" s="169">
        <f>'Diseases (blast)'!C21</f>
        <v>5</v>
      </c>
      <c r="T20" s="170">
        <f>'Diseases (blast)'!D21</f>
        <v>1</v>
      </c>
      <c r="U20" s="171"/>
      <c r="V20" s="171"/>
      <c r="W20" s="171"/>
      <c r="X20" s="172"/>
      <c r="Y20" s="159" t="s">
        <v>138</v>
      </c>
      <c r="Z20" s="173"/>
      <c r="AA20" s="174"/>
      <c r="AB20" s="175"/>
      <c r="AC20" s="176"/>
      <c r="AD20" s="177">
        <f>'Field grain descriptors'!C19</f>
        <v>1</v>
      </c>
      <c r="AE20" s="178" t="str">
        <f t="shared" si="2"/>
        <v>Absent</v>
      </c>
      <c r="AF20" s="177">
        <f>'Field grain descriptors'!D19</f>
        <v>3</v>
      </c>
      <c r="AG20" s="179"/>
      <c r="AH20" s="180"/>
      <c r="AI20" s="181"/>
      <c r="AJ20" s="169">
        <f>'Field grain descriptors'!I19</f>
        <v>1</v>
      </c>
      <c r="AK20" s="159" t="s">
        <v>138</v>
      </c>
      <c r="AL20" s="177">
        <f>'Lab descriptors of grain qualit'!C19</f>
        <v>3</v>
      </c>
      <c r="AM20" s="182" t="str">
        <f t="shared" si="4"/>
        <v>Gold</v>
      </c>
      <c r="AN20" s="179">
        <f>AVERAGE('Lab descriptors of grain qualit'!D19:M19)</f>
        <v>8.175999999999998</v>
      </c>
      <c r="AO20" s="180">
        <f>STDEV('Lab descriptors of grain qualit'!D19:M19)</f>
        <v>0.32894443975306314</v>
      </c>
      <c r="AP20" s="179">
        <f>AVERAGE('Lab descriptors of grain qualit'!N19:W19)</f>
        <v>3.6420000000000003</v>
      </c>
      <c r="AQ20" s="182">
        <f>STDEV('Lab descriptors of grain qualit'!N19:W19)</f>
        <v>0.09519570485175151</v>
      </c>
      <c r="AR20" s="383">
        <f aca="true" t="shared" si="6" ref="AR20:AR31">AN20/AP20</f>
        <v>2.2449203734211967</v>
      </c>
      <c r="AS20" s="180">
        <f>AVERAGE('Lab descriptors of grain qualit'!X19:AG19)</f>
        <v>2.245086678193549</v>
      </c>
      <c r="AT20" s="384">
        <f>STDEV('Lab descriptors of grain qualit'!X19:AG19)</f>
        <v>0.07548803099384883</v>
      </c>
      <c r="AU20" s="159" t="s">
        <v>138</v>
      </c>
      <c r="AV20" s="179">
        <f>AVERAGE('Lab descriptors of grain qualit'!AI19:AR19)</f>
        <v>5.924</v>
      </c>
      <c r="AW20" s="180">
        <f>STDEV('Lab descriptors of grain qualit'!AI19:AR19)</f>
        <v>0.1995105121151124</v>
      </c>
      <c r="AX20" s="179">
        <f>AVERAGE('Lab descriptors of grain qualit'!AS19:BB19)</f>
        <v>3.2269999999999994</v>
      </c>
      <c r="AY20" s="180">
        <f>STDEV('Lab descriptors of grain qualit'!AS19:BB19)</f>
        <v>0.08056053624450746</v>
      </c>
      <c r="AZ20" s="179">
        <f>AVERAGE('Lab descriptors of grain qualit'!BC19:BL19)</f>
        <v>1.8368009833618324</v>
      </c>
      <c r="BA20" s="180">
        <f>STDEV('Lab descriptors of grain qualit'!BC19:BL19)</f>
        <v>0.0775078978836339</v>
      </c>
      <c r="BB20" s="183" t="str">
        <f>IF(AND(AV20&lt;=5.2,AZ20&lt;2),"Round",IF(AND(AV20&gt;6,AZ20&lt;3),"Long A",IF(AND(AV20&gt;6,AZ20&gt;3),"Long B","Medium")))</f>
        <v>Medium</v>
      </c>
      <c r="BC20" s="166">
        <f>'Lab descriptors of grain qualit'!BM19</f>
        <v>32.49</v>
      </c>
      <c r="BD20" s="184">
        <f>'Lab descriptors of grain qualit'!BO19</f>
        <v>0.6383502616189596</v>
      </c>
      <c r="BE20" s="184">
        <f>'Lab descriptors of grain qualit'!BQ19</f>
        <v>0.5687903970452447</v>
      </c>
      <c r="BF20" s="159" t="s">
        <v>138</v>
      </c>
      <c r="BG20" s="386">
        <v>19.5</v>
      </c>
      <c r="BH20" s="185"/>
      <c r="BI20" s="186" t="str">
        <f t="shared" si="5"/>
        <v>High</v>
      </c>
      <c r="BJ20" s="186">
        <f>'Lab descriptors of grain qu (2)'!E19</f>
        <v>7</v>
      </c>
      <c r="BK20" s="187">
        <f>'Lab descriptors of grain qu (2)'!F19</f>
        <v>1</v>
      </c>
      <c r="BL20" s="186">
        <f>'Lab descriptors of grain qu (2)'!G19</f>
        <v>9</v>
      </c>
      <c r="BM20" s="188">
        <f>'Lab descriptors of grain qu (2)'!H19</f>
        <v>1</v>
      </c>
      <c r="BN20" s="189">
        <f>'Lab descriptors of grain qu (2)'!I19</f>
        <v>9</v>
      </c>
      <c r="BO20" s="190">
        <f>'Lab descriptors of grain qu (2)'!K19</f>
        <v>0</v>
      </c>
      <c r="BP20" s="173"/>
      <c r="BQ20" s="477" t="s">
        <v>138</v>
      </c>
      <c r="BR20" s="480">
        <v>0</v>
      </c>
      <c r="BS20" s="483"/>
    </row>
    <row r="21" spans="1:71" ht="21">
      <c r="A21" s="90">
        <v>502</v>
      </c>
      <c r="B21" s="159" t="s">
        <v>139</v>
      </c>
      <c r="C21" s="160"/>
      <c r="D21" s="161"/>
      <c r="E21" s="162">
        <f>'Agronomic traits'!F20</f>
        <v>105</v>
      </c>
      <c r="F21" s="162">
        <f>'Agronomic traits'!H20</f>
        <v>127</v>
      </c>
      <c r="G21" s="163">
        <f>'Agronomic traits'!I20</f>
        <v>90</v>
      </c>
      <c r="H21" s="163">
        <f>'Agronomic traits'!J20</f>
        <v>9</v>
      </c>
      <c r="I21" s="163">
        <f>'Agronomic traits'!K20</f>
        <v>1</v>
      </c>
      <c r="J21" s="159">
        <f>'Agronomic traits'!L20</f>
        <v>3</v>
      </c>
      <c r="K21" s="164" t="s">
        <v>139</v>
      </c>
      <c r="L21" s="165">
        <f>'Field plant descriptors'!C20</f>
        <v>4</v>
      </c>
      <c r="M21" s="162"/>
      <c r="N21" s="162">
        <f>'Field plant descriptors'!E20</f>
        <v>6</v>
      </c>
      <c r="O21" s="162">
        <f>'Field plant descriptors'!F20</f>
        <v>3</v>
      </c>
      <c r="P21" s="166">
        <f>AVERAGE('Field plant descriptors'!G20:L20)</f>
        <v>21.400000000000002</v>
      </c>
      <c r="Q21" s="167">
        <f>STDEV('Field plant descriptors'!G20:L20)</f>
        <v>2.254772715818586</v>
      </c>
      <c r="R21" s="168">
        <f>'Field plant descriptors'!M20</f>
        <v>5</v>
      </c>
      <c r="S21" s="169">
        <f>'Diseases (blast)'!C22</f>
        <v>4</v>
      </c>
      <c r="T21" s="170">
        <f>'Diseases (blast)'!D22</f>
        <v>1</v>
      </c>
      <c r="U21" s="171"/>
      <c r="V21" s="171"/>
      <c r="W21" s="171"/>
      <c r="X21" s="172"/>
      <c r="Y21" s="159" t="s">
        <v>139</v>
      </c>
      <c r="Z21" s="173"/>
      <c r="AA21" s="174"/>
      <c r="AB21" s="175"/>
      <c r="AC21" s="176"/>
      <c r="AD21" s="177">
        <f>'Field grain descriptors'!C20</f>
        <v>1</v>
      </c>
      <c r="AE21" s="178" t="str">
        <f t="shared" si="2"/>
        <v>Absent</v>
      </c>
      <c r="AF21" s="177">
        <f>'Field grain descriptors'!D20</f>
        <v>1</v>
      </c>
      <c r="AG21" s="179">
        <f>AVERAGE('Field grain descriptors'!E20:H20)</f>
        <v>2.4499999999999997</v>
      </c>
      <c r="AH21" s="180">
        <f>STDEV('Field grain descriptors'!E20:H20)</f>
        <v>0.6028266749240632</v>
      </c>
      <c r="AI21" s="181" t="str">
        <f t="shared" si="3"/>
        <v>Medium</v>
      </c>
      <c r="AJ21" s="169">
        <f>'Field grain descriptors'!I20</f>
        <v>1</v>
      </c>
      <c r="AK21" s="159" t="s">
        <v>139</v>
      </c>
      <c r="AL21" s="177">
        <f>'Lab descriptors of grain qualit'!C20</f>
        <v>3</v>
      </c>
      <c r="AM21" s="182" t="str">
        <f t="shared" si="4"/>
        <v>Gold</v>
      </c>
      <c r="AN21" s="179">
        <f>AVERAGE('Lab descriptors of grain qualit'!D20:M20)</f>
        <v>9.555000000000001</v>
      </c>
      <c r="AO21" s="180">
        <f>STDEV('Lab descriptors of grain qualit'!D20:M20)</f>
        <v>0.49788999231198633</v>
      </c>
      <c r="AP21" s="179">
        <f>AVERAGE('Lab descriptors of grain qualit'!N20:W20)</f>
        <v>2.3129999999999997</v>
      </c>
      <c r="AQ21" s="182">
        <f>STDEV('Lab descriptors of grain qualit'!N20:W20)</f>
        <v>0.1552095357895289</v>
      </c>
      <c r="AR21" s="383">
        <f t="shared" si="6"/>
        <v>4.13099870298314</v>
      </c>
      <c r="AS21" s="180">
        <f>AVERAGE('Lab descriptors of grain qualit'!X20:AG20)</f>
        <v>4.138078878386759</v>
      </c>
      <c r="AT21" s="384">
        <f>STDEV('Lab descriptors of grain qualit'!X20:AG20)</f>
        <v>0.19256080744057497</v>
      </c>
      <c r="AU21" s="159" t="s">
        <v>139</v>
      </c>
      <c r="AV21" s="179">
        <f>AVERAGE('Lab descriptors of grain qualit'!AI20:AR20)</f>
        <v>7.234999999999999</v>
      </c>
      <c r="AW21" s="180">
        <f>STDEV('Lab descriptors of grain qualit'!AI20:AR20)</f>
        <v>0.2972185877244147</v>
      </c>
      <c r="AX21" s="179">
        <f>AVERAGE('Lab descriptors of grain qualit'!AS20:BB20)</f>
        <v>2.0090000000000003</v>
      </c>
      <c r="AY21" s="180">
        <f>STDEV('Lab descriptors of grain qualit'!AS20:BB20)</f>
        <v>0.07694875639741297</v>
      </c>
      <c r="AZ21" s="179">
        <f>AVERAGE('Lab descriptors of grain qualit'!BC20:BL20)</f>
        <v>3.6028536483771227</v>
      </c>
      <c r="BA21" s="180">
        <f>STDEV('Lab descriptors of grain qualit'!BC20:BL20)</f>
        <v>0.12225102553417139</v>
      </c>
      <c r="BB21" s="183" t="str">
        <f>IF(AND(AV21&lt;=5.2,AZ21&lt;2),"Round",IF(AND(AV21&gt;6,AZ21&lt;3),"Long A",IF(AND(AV21&gt;6,AZ21&gt;3),"Long B","Medium")))</f>
        <v>Long B</v>
      </c>
      <c r="BC21" s="166">
        <f>'Lab descriptors of grain qualit'!BM20</f>
        <v>22.3</v>
      </c>
      <c r="BD21" s="184">
        <f>'Lab descriptors of grain qualit'!BO20</f>
        <v>0.7291479820627803</v>
      </c>
      <c r="BE21" s="184">
        <f>'Lab descriptors of grain qualit'!BQ20</f>
        <v>0.6946188340807175</v>
      </c>
      <c r="BF21" s="159" t="s">
        <v>139</v>
      </c>
      <c r="BG21" s="386">
        <v>19.56</v>
      </c>
      <c r="BH21" s="185"/>
      <c r="BI21" s="186" t="str">
        <f t="shared" si="5"/>
        <v>Intermediate</v>
      </c>
      <c r="BJ21" s="186">
        <f>'Lab descriptors of grain qu (2)'!E20</f>
        <v>4</v>
      </c>
      <c r="BK21" s="187">
        <f>'Lab descriptors of grain qu (2)'!F20</f>
        <v>0.16</v>
      </c>
      <c r="BL21" s="186">
        <f>'Lab descriptors of grain qu (2)'!G20</f>
        <v>3</v>
      </c>
      <c r="BM21" s="188">
        <f>'Lab descriptors of grain qu (2)'!H20</f>
        <v>0</v>
      </c>
      <c r="BN21" s="189">
        <f>'Lab descriptors of grain qu (2)'!I20</f>
        <v>1</v>
      </c>
      <c r="BO21" s="190">
        <f>'Lab descriptors of grain qu (2)'!K20</f>
        <v>0</v>
      </c>
      <c r="BP21" s="173"/>
      <c r="BQ21" s="477" t="s">
        <v>139</v>
      </c>
      <c r="BR21" s="480">
        <v>0</v>
      </c>
      <c r="BS21" s="483"/>
    </row>
    <row r="22" spans="1:71" ht="21">
      <c r="A22" s="90">
        <v>512</v>
      </c>
      <c r="B22" s="130" t="s">
        <v>140</v>
      </c>
      <c r="C22" s="127"/>
      <c r="D22" s="93"/>
      <c r="E22" s="128">
        <f>'Agronomic traits'!F21</f>
        <v>97</v>
      </c>
      <c r="F22" s="128">
        <f>'Agronomic traits'!H21</f>
        <v>140</v>
      </c>
      <c r="G22" s="129">
        <f>'Agronomic traits'!I21</f>
        <v>80</v>
      </c>
      <c r="H22" s="129">
        <f>'Agronomic traits'!J21</f>
        <v>9</v>
      </c>
      <c r="I22" s="129">
        <f>'Agronomic traits'!K21</f>
        <v>1</v>
      </c>
      <c r="J22" s="130">
        <f>'Agronomic traits'!L21</f>
        <v>3</v>
      </c>
      <c r="K22" s="191" t="s">
        <v>140</v>
      </c>
      <c r="L22" s="132">
        <f>'Field plant descriptors'!C21</f>
        <v>2</v>
      </c>
      <c r="M22" s="128"/>
      <c r="N22" s="128">
        <f>'Field plant descriptors'!E21</f>
        <v>2</v>
      </c>
      <c r="O22" s="128">
        <f>'Field plant descriptors'!F21</f>
        <v>2</v>
      </c>
      <c r="P22" s="133">
        <f>AVERAGE('Field plant descriptors'!G21:L21)</f>
        <v>14.050000000000002</v>
      </c>
      <c r="Q22" s="134">
        <f>STDEV('Field plant descriptors'!G21:L21)</f>
        <v>0.7286974680894323</v>
      </c>
      <c r="R22" s="135">
        <f>'Field plant descriptors'!M21</f>
        <v>5</v>
      </c>
      <c r="S22" s="136">
        <f>'Diseases (blast)'!C23</f>
        <v>5</v>
      </c>
      <c r="T22" s="137">
        <f>'Diseases (blast)'!D23</f>
        <v>1</v>
      </c>
      <c r="U22" s="138"/>
      <c r="V22" s="138"/>
      <c r="W22" s="138"/>
      <c r="X22" s="139"/>
      <c r="Y22" s="130" t="s">
        <v>140</v>
      </c>
      <c r="Z22" s="140"/>
      <c r="AA22" s="141"/>
      <c r="AB22" s="142"/>
      <c r="AC22" s="143"/>
      <c r="AD22" s="144">
        <f>'Field grain descriptors'!C21</f>
        <v>1</v>
      </c>
      <c r="AE22" s="145" t="str">
        <f t="shared" si="2"/>
        <v>Absent</v>
      </c>
      <c r="AF22" s="144">
        <f>'Field grain descriptors'!D21</f>
        <v>9</v>
      </c>
      <c r="AG22" s="146">
        <f>AVERAGE('Field grain descriptors'!E21:H21)</f>
        <v>2.3950000000000005</v>
      </c>
      <c r="AH22" s="147">
        <f>STDEV('Field grain descriptors'!E21:H21)</f>
        <v>0.23530122538283382</v>
      </c>
      <c r="AI22" s="148" t="str">
        <f t="shared" si="3"/>
        <v>Medium</v>
      </c>
      <c r="AJ22" s="136">
        <f>'Field grain descriptors'!I21</f>
        <v>1</v>
      </c>
      <c r="AK22" s="130" t="s">
        <v>140</v>
      </c>
      <c r="AL22" s="144">
        <f>'Lab descriptors of grain qualit'!C21</f>
        <v>3</v>
      </c>
      <c r="AM22" s="149" t="str">
        <f t="shared" si="4"/>
        <v>Gold</v>
      </c>
      <c r="AN22" s="146">
        <f>AVERAGE('Lab descriptors of grain qualit'!D21:M21)</f>
        <v>8.216</v>
      </c>
      <c r="AO22" s="147">
        <f>STDEV('Lab descriptors of grain qualit'!D21:M21)</f>
        <v>0.25721586265237595</v>
      </c>
      <c r="AP22" s="146">
        <f>AVERAGE('Lab descriptors of grain qualit'!N21:W21)</f>
        <v>3.536</v>
      </c>
      <c r="AQ22" s="149">
        <f>STDEV('Lab descriptors of grain qualit'!N21:W21)</f>
        <v>0.19602720899575693</v>
      </c>
      <c r="AR22" s="382">
        <f t="shared" si="6"/>
        <v>2.3235294117647056</v>
      </c>
      <c r="AS22" s="147">
        <f>AVERAGE('Lab descriptors of grain qualit'!X21:AG21)</f>
        <v>2.3277798410187396</v>
      </c>
      <c r="AT22" s="381">
        <f>STDEV('Lab descriptors of grain qualit'!X21:AG21)</f>
        <v>0.10274195097962721</v>
      </c>
      <c r="AU22" s="130" t="s">
        <v>140</v>
      </c>
      <c r="AV22" s="146">
        <f>AVERAGE('Lab descriptors of grain qualit'!AI21:AR21)</f>
        <v>5.787</v>
      </c>
      <c r="AW22" s="147">
        <f>STDEV('Lab descriptors of grain qualit'!AI21:AR21)</f>
        <v>0.15477941292907663</v>
      </c>
      <c r="AX22" s="146">
        <f>AVERAGE('Lab descriptors of grain qualit'!AS21:BB21)</f>
        <v>3.052</v>
      </c>
      <c r="AY22" s="147">
        <f>STDEV('Lab descriptors of grain qualit'!AS21:BB21)</f>
        <v>0.0661311827607337</v>
      </c>
      <c r="AZ22" s="146">
        <f>AVERAGE('Lab descriptors of grain qualit'!BC21:BL21)</f>
        <v>1.8964105471100705</v>
      </c>
      <c r="BA22" s="147">
        <f>STDEV('Lab descriptors of grain qualit'!BC21:BL21)</f>
        <v>0.045402679144834174</v>
      </c>
      <c r="BB22" s="151" t="str">
        <f>IF(AND(AV22&lt;=5.2,AZ22&lt;2),"Round",IF(AND(AV22&gt;6,AZ22&lt;3),"Long A",IF(AND(AV22&gt;6,AZ22&gt;3),"Long B","Medium")))</f>
        <v>Medium</v>
      </c>
      <c r="BC22" s="133">
        <f>'Lab descriptors of grain qualit'!BM21</f>
        <v>33.35</v>
      </c>
      <c r="BD22" s="152">
        <f>'Lab descriptors of grain qualit'!BO21</f>
        <v>0.6758620689655171</v>
      </c>
      <c r="BE22" s="152">
        <f>'Lab descriptors of grain qualit'!BQ21</f>
        <v>0.6476761619190405</v>
      </c>
      <c r="BF22" s="130" t="s">
        <v>140</v>
      </c>
      <c r="BG22" s="387">
        <v>19.55</v>
      </c>
      <c r="BH22" s="153"/>
      <c r="BI22" s="154" t="str">
        <f t="shared" si="5"/>
        <v>High</v>
      </c>
      <c r="BJ22" s="154">
        <f>'Lab descriptors of grain qu (2)'!E21</f>
        <v>7</v>
      </c>
      <c r="BK22" s="155">
        <f>'Lab descriptors of grain qu (2)'!F21</f>
        <v>0.96</v>
      </c>
      <c r="BL22" s="154">
        <f>'Lab descriptors of grain qu (2)'!G21</f>
        <v>7</v>
      </c>
      <c r="BM22" s="156">
        <f>'Lab descriptors of grain qu (2)'!H21</f>
        <v>9</v>
      </c>
      <c r="BN22" s="157">
        <f>'Lab descriptors of grain qu (2)'!I21</f>
        <v>0</v>
      </c>
      <c r="BO22" s="158">
        <f>'Lab descriptors of grain qu (2)'!K21</f>
        <v>0</v>
      </c>
      <c r="BP22" s="140"/>
      <c r="BQ22" s="478" t="s">
        <v>140</v>
      </c>
      <c r="BR22" s="480">
        <v>4</v>
      </c>
      <c r="BS22" s="483"/>
    </row>
    <row r="23" spans="1:71" ht="21">
      <c r="A23" s="90">
        <v>518</v>
      </c>
      <c r="B23" s="130" t="s">
        <v>141</v>
      </c>
      <c r="C23" s="127"/>
      <c r="D23" s="93"/>
      <c r="E23" s="128">
        <f>'Agronomic traits'!F22</f>
        <v>113</v>
      </c>
      <c r="F23" s="128">
        <f>'Agronomic traits'!H22</f>
        <v>139</v>
      </c>
      <c r="G23" s="129">
        <f>'Agronomic traits'!I22</f>
        <v>100</v>
      </c>
      <c r="H23" s="129">
        <f>'Agronomic traits'!J22</f>
        <v>9</v>
      </c>
      <c r="I23" s="129">
        <f>'Agronomic traits'!K22</f>
        <v>4</v>
      </c>
      <c r="J23" s="130">
        <f>'Agronomic traits'!L22</f>
        <v>2</v>
      </c>
      <c r="K23" s="191" t="s">
        <v>141</v>
      </c>
      <c r="L23" s="132">
        <f>'Field plant descriptors'!C22</f>
        <v>2</v>
      </c>
      <c r="M23" s="128"/>
      <c r="N23" s="128">
        <f>'Field plant descriptors'!E22</f>
        <v>2</v>
      </c>
      <c r="O23" s="128">
        <f>'Field plant descriptors'!F22</f>
        <v>3</v>
      </c>
      <c r="P23" s="133">
        <f>AVERAGE('Field plant descriptors'!G22:L22)</f>
        <v>19.516666666666666</v>
      </c>
      <c r="Q23" s="134">
        <f>STDEV('Field plant descriptors'!G22:L22)</f>
        <v>1.3556056457048236</v>
      </c>
      <c r="R23" s="135">
        <f>'Field plant descriptors'!M22</f>
        <v>9</v>
      </c>
      <c r="S23" s="136">
        <f>'Diseases (blast)'!C24</f>
        <v>5</v>
      </c>
      <c r="T23" s="137">
        <f>'Diseases (blast)'!D24</f>
        <v>1</v>
      </c>
      <c r="U23" s="138"/>
      <c r="V23" s="138"/>
      <c r="W23" s="138"/>
      <c r="X23" s="139"/>
      <c r="Y23" s="130" t="s">
        <v>141</v>
      </c>
      <c r="Z23" s="140"/>
      <c r="AA23" s="141"/>
      <c r="AB23" s="142"/>
      <c r="AC23" s="143"/>
      <c r="AD23" s="144">
        <f>'Field grain descriptors'!C22</f>
        <v>1</v>
      </c>
      <c r="AE23" s="145" t="str">
        <f t="shared" si="2"/>
        <v>Absent</v>
      </c>
      <c r="AF23" s="144">
        <f>'Field grain descriptors'!D22</f>
        <v>9</v>
      </c>
      <c r="AG23" s="146">
        <f>AVERAGE('Field grain descriptors'!E22:H22)</f>
        <v>2.3325</v>
      </c>
      <c r="AH23" s="147">
        <f>STDEV('Field grain descriptors'!E22:H22)</f>
        <v>0.3693575503492505</v>
      </c>
      <c r="AI23" s="148" t="str">
        <f t="shared" si="3"/>
        <v>Medium</v>
      </c>
      <c r="AJ23" s="136">
        <f>'Field grain descriptors'!I22</f>
        <v>6</v>
      </c>
      <c r="AK23" s="130" t="s">
        <v>141</v>
      </c>
      <c r="AL23" s="144">
        <f>'Lab descriptors of grain qualit'!C22</f>
        <v>3</v>
      </c>
      <c r="AM23" s="149" t="str">
        <f t="shared" si="4"/>
        <v>Gold</v>
      </c>
      <c r="AN23" s="146">
        <f>AVERAGE('Lab descriptors of grain qualit'!D22:M22)</f>
        <v>7.462999999999999</v>
      </c>
      <c r="AO23" s="147">
        <f>STDEV('Lab descriptors of grain qualit'!D22:M22)</f>
        <v>0.4764230146507328</v>
      </c>
      <c r="AP23" s="146">
        <f>AVERAGE('Lab descriptors of grain qualit'!N22:W22)</f>
        <v>3.2660000000000005</v>
      </c>
      <c r="AQ23" s="149">
        <f>STDEV('Lab descriptors of grain qualit'!N22:W22)</f>
        <v>0.18355743878506264</v>
      </c>
      <c r="AR23" s="382">
        <f t="shared" si="6"/>
        <v>2.2850581751377828</v>
      </c>
      <c r="AS23" s="147">
        <f>AVERAGE('Lab descriptors of grain qualit'!X22:AG22)</f>
        <v>2.2977796239924624</v>
      </c>
      <c r="AT23" s="381">
        <f>STDEV('Lab descriptors of grain qualit'!X22:AG22)</f>
        <v>0.27616826243508474</v>
      </c>
      <c r="AU23" s="130" t="s">
        <v>141</v>
      </c>
      <c r="AV23" s="146">
        <f>AVERAGE('Lab descriptors of grain qualit'!AI22:AR22)</f>
        <v>5.198000000000001</v>
      </c>
      <c r="AW23" s="147">
        <f>STDEV('Lab descriptors of grain qualit'!AI22:AR22)</f>
        <v>0.17434321195716265</v>
      </c>
      <c r="AX23" s="146">
        <f>AVERAGE('Lab descriptors of grain qualit'!AS22:BB22)</f>
        <v>2.854</v>
      </c>
      <c r="AY23" s="147">
        <f>STDEV('Lab descriptors of grain qualit'!AS22:BB22)</f>
        <v>0.10319345371140742</v>
      </c>
      <c r="AZ23" s="146">
        <f>AVERAGE('Lab descriptors of grain qualit'!BC22:BL22)</f>
        <v>1.8222189193060871</v>
      </c>
      <c r="BA23" s="147">
        <f>STDEV('Lab descriptors of grain qualit'!BC22:BL22)</f>
        <v>0.05588143833928037</v>
      </c>
      <c r="BB23" s="151" t="str">
        <f>IF(AND(AV23&lt;=5.2,AZ23&lt;2),"Round",IF(AND(AV23&gt;6,AZ23&lt;3),"Long A",IF(AND(AV23&gt;6,AZ23&gt;3),"Long B","Medium")))</f>
        <v>Round</v>
      </c>
      <c r="BC23" s="133">
        <f>'Lab descriptors of grain qualit'!BM22</f>
        <v>26.52</v>
      </c>
      <c r="BD23" s="152">
        <f>'Lab descriptors of grain qualit'!BO22</f>
        <v>0.6994720965309201</v>
      </c>
      <c r="BE23" s="152">
        <f>'Lab descriptors of grain qualit'!BQ22</f>
        <v>0.6870286576168929</v>
      </c>
      <c r="BF23" s="130" t="s">
        <v>141</v>
      </c>
      <c r="BG23" s="386">
        <v>22.63</v>
      </c>
      <c r="BH23" s="153"/>
      <c r="BI23" s="154" t="str">
        <f t="shared" si="5"/>
        <v>High</v>
      </c>
      <c r="BJ23" s="154">
        <f>'Lab descriptors of grain qu (2)'!E22</f>
        <v>7</v>
      </c>
      <c r="BK23" s="155">
        <f>'Lab descriptors of grain qu (2)'!F22</f>
        <v>1</v>
      </c>
      <c r="BL23" s="154">
        <f>'Lab descriptors of grain qu (2)'!G22</f>
        <v>7</v>
      </c>
      <c r="BM23" s="156">
        <f>'Lab descriptors of grain qu (2)'!H22</f>
        <v>9</v>
      </c>
      <c r="BN23" s="157">
        <f>'Lab descriptors of grain qu (2)'!I22</f>
        <v>0</v>
      </c>
      <c r="BO23" s="158">
        <f>'Lab descriptors of grain qu (2)'!K22</f>
        <v>0</v>
      </c>
      <c r="BP23" s="140"/>
      <c r="BQ23" s="478" t="s">
        <v>141</v>
      </c>
      <c r="BR23" s="480">
        <v>7</v>
      </c>
      <c r="BS23" s="483"/>
    </row>
    <row r="24" spans="1:71" ht="21">
      <c r="A24" s="90">
        <v>519</v>
      </c>
      <c r="B24" s="130" t="s">
        <v>142</v>
      </c>
      <c r="C24" s="127"/>
      <c r="D24" s="93"/>
      <c r="E24" s="128">
        <f>'Agronomic traits'!F23</f>
        <v>102</v>
      </c>
      <c r="F24" s="128">
        <f>'Agronomic traits'!H23</f>
        <v>140</v>
      </c>
      <c r="G24" s="129">
        <f>'Agronomic traits'!I23</f>
        <v>75</v>
      </c>
      <c r="H24" s="129">
        <f>'Agronomic traits'!J23</f>
        <v>9</v>
      </c>
      <c r="I24" s="129">
        <f>'Agronomic traits'!K23</f>
        <v>2</v>
      </c>
      <c r="J24" s="130">
        <f>'Agronomic traits'!L23</f>
        <v>2</v>
      </c>
      <c r="K24" s="191" t="s">
        <v>142</v>
      </c>
      <c r="L24" s="132">
        <f>'Field plant descriptors'!C23</f>
        <v>4</v>
      </c>
      <c r="M24" s="128"/>
      <c r="N24" s="128">
        <f>'Field plant descriptors'!E23</f>
        <v>4</v>
      </c>
      <c r="O24" s="128">
        <f>'Field plant descriptors'!F23</f>
        <v>3</v>
      </c>
      <c r="P24" s="133">
        <f>AVERAGE('Field plant descriptors'!G23:L23)</f>
        <v>16.599999999999998</v>
      </c>
      <c r="Q24" s="134">
        <f>STDEV('Field plant descriptors'!G23:L23)</f>
        <v>1.0733126291999617</v>
      </c>
      <c r="R24" s="135">
        <f>'Field plant descriptors'!M23</f>
        <v>5</v>
      </c>
      <c r="S24" s="136">
        <f>'Diseases (blast)'!C25</f>
        <v>3</v>
      </c>
      <c r="T24" s="137">
        <f>'Diseases (blast)'!D25</f>
        <v>1</v>
      </c>
      <c r="U24" s="138"/>
      <c r="V24" s="138"/>
      <c r="W24" s="138"/>
      <c r="X24" s="139"/>
      <c r="Y24" s="130" t="s">
        <v>142</v>
      </c>
      <c r="Z24" s="140"/>
      <c r="AA24" s="141"/>
      <c r="AB24" s="142"/>
      <c r="AC24" s="143"/>
      <c r="AD24" s="144">
        <f>'Field grain descriptors'!C23</f>
        <v>1</v>
      </c>
      <c r="AE24" s="145" t="str">
        <f t="shared" si="2"/>
        <v>Absent</v>
      </c>
      <c r="AF24" s="144">
        <f>'Field grain descriptors'!D23</f>
        <v>7</v>
      </c>
      <c r="AG24" s="146"/>
      <c r="AH24" s="147"/>
      <c r="AI24" s="148"/>
      <c r="AJ24" s="136">
        <f>'Field grain descriptors'!I23</f>
        <v>4</v>
      </c>
      <c r="AK24" s="130" t="s">
        <v>142</v>
      </c>
      <c r="AL24" s="144">
        <f>'Lab descriptors of grain qualit'!C23</f>
        <v>3</v>
      </c>
      <c r="AM24" s="149" t="str">
        <f t="shared" si="4"/>
        <v>Gold</v>
      </c>
      <c r="AN24" s="146">
        <f>AVERAGE('Lab descriptors of grain qualit'!D23:M23)</f>
        <v>7.441</v>
      </c>
      <c r="AO24" s="147">
        <f>STDEV('Lab descriptors of grain qualit'!D23:M23)</f>
        <v>0.32858112477067897</v>
      </c>
      <c r="AP24" s="146">
        <f>AVERAGE('Lab descriptors of grain qualit'!N23:W23)</f>
        <v>3.5589999999999997</v>
      </c>
      <c r="AQ24" s="149">
        <f>STDEV('Lab descriptors of grain qualit'!N23:W23)</f>
        <v>0.08723531395027377</v>
      </c>
      <c r="AR24" s="382">
        <f t="shared" si="6"/>
        <v>2.090755830289407</v>
      </c>
      <c r="AS24" s="147">
        <f>AVERAGE('Lab descriptors of grain qualit'!X23:AG23)</f>
        <v>2.09095779723193</v>
      </c>
      <c r="AT24" s="381">
        <f>STDEV('Lab descriptors of grain qualit'!X23:AG23)</f>
        <v>0.08173516772883554</v>
      </c>
      <c r="AU24" s="130" t="s">
        <v>142</v>
      </c>
      <c r="AV24" s="146">
        <f>AVERAGE('Lab descriptors of grain qualit'!AI23:AR23)</f>
        <v>5.246</v>
      </c>
      <c r="AW24" s="147">
        <f>STDEV('Lab descriptors of grain qualit'!AI23:AR23)</f>
        <v>0.09663217775551386</v>
      </c>
      <c r="AX24" s="146">
        <f>AVERAGE('Lab descriptors of grain qualit'!AS23:BB23)</f>
        <v>3.098</v>
      </c>
      <c r="AY24" s="147">
        <f>STDEV('Lab descriptors of grain qualit'!AS23:BB23)</f>
        <v>0.09942054337229747</v>
      </c>
      <c r="AZ24" s="146">
        <f>AVERAGE('Lab descriptors of grain qualit'!BC23:BL23)</f>
        <v>1.6946715301512298</v>
      </c>
      <c r="BA24" s="147">
        <f>STDEV('Lab descriptors of grain qualit'!BC23:BL23)</f>
        <v>0.05450997165196968</v>
      </c>
      <c r="BB24" s="151" t="str">
        <f>IF(AND(AV24&lt;=5.2,AZ24&lt;2),"Round",IF(AND(AV24&gt;6,AZ24&lt;3),"Long A",IF(AND(AV24&gt;6,AZ24&gt;3),"Long B","Medium")))</f>
        <v>Medium</v>
      </c>
      <c r="BC24" s="133">
        <f>'Lab descriptors of grain qualit'!BM23</f>
        <v>29.57</v>
      </c>
      <c r="BD24" s="152">
        <f>'Lab descriptors of grain qualit'!BO23</f>
        <v>0.6817720662833954</v>
      </c>
      <c r="BE24" s="152">
        <f>'Lab descriptors of grain qualit'!BQ23</f>
        <v>0.6543794386202232</v>
      </c>
      <c r="BF24" s="130" t="s">
        <v>142</v>
      </c>
      <c r="BG24" s="386">
        <v>17.97</v>
      </c>
      <c r="BH24" s="153"/>
      <c r="BI24" s="154" t="str">
        <f t="shared" si="5"/>
        <v>High</v>
      </c>
      <c r="BJ24" s="154">
        <f>'Lab descriptors of grain qu (2)'!E23</f>
        <v>7</v>
      </c>
      <c r="BK24" s="155">
        <f>'Lab descriptors of grain qu (2)'!F23</f>
        <v>1</v>
      </c>
      <c r="BL24" s="154">
        <f>'Lab descriptors of grain qu (2)'!G23</f>
        <v>7</v>
      </c>
      <c r="BM24" s="156">
        <f>'Lab descriptors of grain qu (2)'!H23</f>
        <v>9</v>
      </c>
      <c r="BN24" s="157">
        <f>'Lab descriptors of grain qu (2)'!I23</f>
        <v>0</v>
      </c>
      <c r="BO24" s="158">
        <f>'Lab descriptors of grain qu (2)'!K23</f>
        <v>0</v>
      </c>
      <c r="BP24" s="140"/>
      <c r="BQ24" s="478" t="s">
        <v>142</v>
      </c>
      <c r="BR24" s="480">
        <v>0</v>
      </c>
      <c r="BS24" s="483"/>
    </row>
    <row r="25" spans="1:71" ht="21">
      <c r="A25" s="90">
        <v>520</v>
      </c>
      <c r="B25" s="130" t="s">
        <v>143</v>
      </c>
      <c r="C25" s="127"/>
      <c r="D25" s="93"/>
      <c r="E25" s="128">
        <f>'Agronomic traits'!F24</f>
        <v>110</v>
      </c>
      <c r="F25" s="128"/>
      <c r="G25" s="129">
        <f>'Agronomic traits'!I24</f>
        <v>107</v>
      </c>
      <c r="H25" s="129">
        <f>'Agronomic traits'!J24</f>
        <v>9</v>
      </c>
      <c r="I25" s="129">
        <f>'Agronomic traits'!K24</f>
        <v>7</v>
      </c>
      <c r="J25" s="130">
        <f>'Agronomic traits'!L24</f>
        <v>2</v>
      </c>
      <c r="K25" s="191" t="s">
        <v>143</v>
      </c>
      <c r="L25" s="132">
        <f>'Field plant descriptors'!C24</f>
        <v>5</v>
      </c>
      <c r="M25" s="128"/>
      <c r="N25" s="128">
        <f>'Field plant descriptors'!E24</f>
        <v>5</v>
      </c>
      <c r="O25" s="128">
        <f>'Field plant descriptors'!F24</f>
        <v>1</v>
      </c>
      <c r="P25" s="133">
        <f>AVERAGE('Field plant descriptors'!G24:L24)</f>
        <v>18.616666666666664</v>
      </c>
      <c r="Q25" s="134">
        <f>STDEV('Field plant descriptors'!G24:L24)</f>
        <v>0.9453394452083023</v>
      </c>
      <c r="R25" s="135">
        <f>'Field plant descriptors'!M24</f>
        <v>9</v>
      </c>
      <c r="S25" s="136">
        <f>'Diseases (blast)'!C26</f>
        <v>5</v>
      </c>
      <c r="T25" s="137">
        <f>'Diseases (blast)'!D26</f>
        <v>2</v>
      </c>
      <c r="U25" s="138"/>
      <c r="V25" s="138"/>
      <c r="W25" s="138"/>
      <c r="X25" s="139"/>
      <c r="Y25" s="130" t="s">
        <v>143</v>
      </c>
      <c r="Z25" s="140"/>
      <c r="AA25" s="141"/>
      <c r="AB25" s="142"/>
      <c r="AC25" s="143"/>
      <c r="AD25" s="144">
        <f>'Field grain descriptors'!C24</f>
        <v>9</v>
      </c>
      <c r="AE25" s="145" t="str">
        <f t="shared" si="2"/>
        <v>Present</v>
      </c>
      <c r="AF25" s="144">
        <f>'Field grain descriptors'!D24</f>
        <v>7</v>
      </c>
      <c r="AG25" s="146">
        <f>AVERAGE('Field grain descriptors'!E24:H24)</f>
        <v>2.4575</v>
      </c>
      <c r="AH25" s="147">
        <f>STDEV('Field grain descriptors'!E24:H24)</f>
        <v>0.3516982608240562</v>
      </c>
      <c r="AI25" s="148" t="str">
        <f t="shared" si="3"/>
        <v>Medium</v>
      </c>
      <c r="AJ25" s="136">
        <f>'Field grain descriptors'!I24</f>
        <v>1</v>
      </c>
      <c r="AK25" s="130" t="s">
        <v>143</v>
      </c>
      <c r="AL25" s="144">
        <f>'Lab descriptors of grain qualit'!C24</f>
        <v>3</v>
      </c>
      <c r="AM25" s="149" t="str">
        <f t="shared" si="4"/>
        <v>Gold</v>
      </c>
      <c r="AN25" s="146">
        <f>AVERAGE('Lab descriptors of grain qualit'!D24:M24)</f>
        <v>7.202</v>
      </c>
      <c r="AO25" s="147">
        <f>STDEV('Lab descriptors of grain qualit'!D24:M24)</f>
        <v>0.20032196307171626</v>
      </c>
      <c r="AP25" s="146">
        <f>AVERAGE('Lab descriptors of grain qualit'!N24:W24)</f>
        <v>3.8280000000000003</v>
      </c>
      <c r="AQ25" s="149">
        <f>STDEV('Lab descriptors of grain qualit'!N24:W24)</f>
        <v>0.14436065946095605</v>
      </c>
      <c r="AR25" s="382">
        <f t="shared" si="6"/>
        <v>1.8814002089864157</v>
      </c>
      <c r="AS25" s="147">
        <f>AVERAGE('Lab descriptors of grain qualit'!X24:AG24)</f>
        <v>1.8828825079866807</v>
      </c>
      <c r="AT25" s="381">
        <f>STDEV('Lab descriptors of grain qualit'!X24:AG24)</f>
        <v>0.06171682747020107</v>
      </c>
      <c r="AU25" s="130" t="s">
        <v>143</v>
      </c>
      <c r="AV25" s="146"/>
      <c r="AW25" s="147"/>
      <c r="AX25" s="146"/>
      <c r="AY25" s="147"/>
      <c r="AZ25" s="146"/>
      <c r="BA25" s="147"/>
      <c r="BB25" s="151"/>
      <c r="BC25" s="133"/>
      <c r="BD25" s="152"/>
      <c r="BE25" s="152"/>
      <c r="BF25" s="130" t="s">
        <v>143</v>
      </c>
      <c r="BG25" s="390"/>
      <c r="BH25" s="153"/>
      <c r="BI25" s="154"/>
      <c r="BJ25" s="154"/>
      <c r="BK25" s="155"/>
      <c r="BL25" s="154"/>
      <c r="BM25" s="156"/>
      <c r="BN25" s="157"/>
      <c r="BO25" s="158"/>
      <c r="BP25" s="140"/>
      <c r="BQ25" s="478" t="s">
        <v>143</v>
      </c>
      <c r="BR25" s="480">
        <v>5.5</v>
      </c>
      <c r="BS25" s="483"/>
    </row>
    <row r="26" spans="1:71" ht="21">
      <c r="A26" s="90">
        <v>523</v>
      </c>
      <c r="B26" s="130" t="s">
        <v>144</v>
      </c>
      <c r="C26" s="127"/>
      <c r="D26" s="93"/>
      <c r="E26" s="128">
        <f>'Agronomic traits'!F25</f>
        <v>96</v>
      </c>
      <c r="F26" s="128">
        <f>'Agronomic traits'!H25</f>
        <v>132</v>
      </c>
      <c r="G26" s="129">
        <f>'Agronomic traits'!I25</f>
        <v>70</v>
      </c>
      <c r="H26" s="129">
        <f>'Agronomic traits'!J25</f>
        <v>9</v>
      </c>
      <c r="I26" s="129">
        <f>'Agronomic traits'!K25</f>
        <v>3</v>
      </c>
      <c r="J26" s="130">
        <f>'Agronomic traits'!L25</f>
        <v>2</v>
      </c>
      <c r="K26" s="191" t="s">
        <v>144</v>
      </c>
      <c r="L26" s="132">
        <f>'Field plant descriptors'!C25</f>
        <v>2</v>
      </c>
      <c r="M26" s="128"/>
      <c r="N26" s="128">
        <f>'Field plant descriptors'!E25</f>
        <v>2</v>
      </c>
      <c r="O26" s="128">
        <f>'Field plant descriptors'!F25</f>
        <v>1</v>
      </c>
      <c r="P26" s="133">
        <f>AVERAGE('Field plant descriptors'!G25:L25)</f>
        <v>12.299999999999999</v>
      </c>
      <c r="Q26" s="134">
        <f>STDEV('Field plant descriptors'!G25:L25)</f>
        <v>1.0411532067856366</v>
      </c>
      <c r="R26" s="135">
        <f>'Field plant descriptors'!M25</f>
        <v>5</v>
      </c>
      <c r="S26" s="136" t="str">
        <f>'Diseases (blast)'!C27</f>
        <v>3-4</v>
      </c>
      <c r="T26" s="137">
        <f>'Diseases (blast)'!D27</f>
        <v>1</v>
      </c>
      <c r="U26" s="138"/>
      <c r="V26" s="138"/>
      <c r="W26" s="138"/>
      <c r="X26" s="139"/>
      <c r="Y26" s="130" t="s">
        <v>144</v>
      </c>
      <c r="Z26" s="140"/>
      <c r="AA26" s="141"/>
      <c r="AB26" s="142"/>
      <c r="AC26" s="143"/>
      <c r="AD26" s="144">
        <f>'Field grain descriptors'!C25</f>
        <v>1</v>
      </c>
      <c r="AE26" s="145" t="str">
        <f t="shared" si="2"/>
        <v>Absent</v>
      </c>
      <c r="AF26" s="144">
        <f>'Field grain descriptors'!D25</f>
        <v>9</v>
      </c>
      <c r="AG26" s="146">
        <f>AVERAGE('Field grain descriptors'!E25:H25)</f>
        <v>7.155</v>
      </c>
      <c r="AH26" s="147">
        <f>STDEV('Field grain descriptors'!E25:H25)</f>
        <v>9.631131813032153</v>
      </c>
      <c r="AI26" s="148" t="str">
        <f t="shared" si="3"/>
        <v>Long</v>
      </c>
      <c r="AJ26" s="136">
        <f>'Field grain descriptors'!I25</f>
        <v>1</v>
      </c>
      <c r="AK26" s="130" t="s">
        <v>144</v>
      </c>
      <c r="AL26" s="144">
        <f>'Lab descriptors of grain qualit'!C25</f>
        <v>3</v>
      </c>
      <c r="AM26" s="149" t="str">
        <f t="shared" si="4"/>
        <v>Gold</v>
      </c>
      <c r="AN26" s="146">
        <f>AVERAGE('Lab descriptors of grain qualit'!D25:M25)</f>
        <v>7.662000000000001</v>
      </c>
      <c r="AO26" s="147">
        <f>STDEV('Lab descriptors of grain qualit'!D25:M25)</f>
        <v>0.23332380932943728</v>
      </c>
      <c r="AP26" s="146">
        <f>AVERAGE('Lab descriptors of grain qualit'!N25:W25)</f>
        <v>3.192</v>
      </c>
      <c r="AQ26" s="149">
        <f>STDEV('Lab descriptors of grain qualit'!N25:W25)</f>
        <v>0.12016655108639701</v>
      </c>
      <c r="AR26" s="382">
        <f t="shared" si="6"/>
        <v>2.4003759398496243</v>
      </c>
      <c r="AS26" s="147">
        <f>AVERAGE('Lab descriptors of grain qualit'!X25:AG25)</f>
        <v>2.402425257841364</v>
      </c>
      <c r="AT26" s="381">
        <f>STDEV('Lab descriptors of grain qualit'!X25:AG25)</f>
        <v>0.08963145124601726</v>
      </c>
      <c r="AU26" s="130" t="s">
        <v>144</v>
      </c>
      <c r="AV26" s="146">
        <f>AVERAGE('Lab descriptors of grain qualit'!AI25:AR25)</f>
        <v>5.621</v>
      </c>
      <c r="AW26" s="147">
        <f>STDEV('Lab descriptors of grain qualit'!AI25:AR25)</f>
        <v>0.18710959355416834</v>
      </c>
      <c r="AX26" s="146">
        <f>AVERAGE('Lab descriptors of grain qualit'!AS25:BB25)</f>
        <v>2.7589999999999995</v>
      </c>
      <c r="AY26" s="147">
        <f>STDEV('Lab descriptors of grain qualit'!AS25:BB25)</f>
        <v>0.08748968193134074</v>
      </c>
      <c r="AZ26" s="146">
        <f>AVERAGE('Lab descriptors of grain qualit'!BC25:BL25)</f>
        <v>2.0380069848049196</v>
      </c>
      <c r="BA26" s="147">
        <f>STDEV('Lab descriptors of grain qualit'!BC25:BL25)</f>
        <v>0.05882935677074319</v>
      </c>
      <c r="BB26" s="151" t="str">
        <f aca="true" t="shared" si="7" ref="BB26:BB31">IF(AND(AV26&lt;=5.2,AZ26&lt;2),"Round",IF(AND(AV26&gt;6,AZ26&lt;3),"Long A",IF(AND(AV26&gt;6,AZ26&gt;3),"Long B","Medium")))</f>
        <v>Medium</v>
      </c>
      <c r="BC26" s="133">
        <f>'Lab descriptors of grain qualit'!BM25</f>
        <v>26.05</v>
      </c>
      <c r="BD26" s="152">
        <f>'Lab descriptors of grain qualit'!BO25</f>
        <v>0.7113243761996162</v>
      </c>
      <c r="BE26" s="152">
        <f>'Lab descriptors of grain qualit'!BQ25</f>
        <v>0.6890595009596928</v>
      </c>
      <c r="BF26" s="130" t="s">
        <v>144</v>
      </c>
      <c r="BG26" s="387">
        <v>18.81</v>
      </c>
      <c r="BH26" s="153"/>
      <c r="BI26" s="154" t="str">
        <f t="shared" si="5"/>
        <v>High</v>
      </c>
      <c r="BJ26" s="154">
        <f>'Lab descriptors of grain qu (2)'!E25</f>
        <v>7</v>
      </c>
      <c r="BK26" s="155">
        <f>'Lab descriptors of grain qu (2)'!F25</f>
        <v>0.49</v>
      </c>
      <c r="BL26" s="154">
        <f>'Lab descriptors of grain qu (2)'!G25</f>
        <v>5</v>
      </c>
      <c r="BM26" s="156">
        <f>'Lab descriptors of grain qu (2)'!H25</f>
        <v>5</v>
      </c>
      <c r="BN26" s="157">
        <f>'Lab descriptors of grain qu (2)'!I25</f>
        <v>0</v>
      </c>
      <c r="BO26" s="158">
        <f>'Lab descriptors of grain qu (2)'!K25</f>
        <v>0</v>
      </c>
      <c r="BP26" s="140"/>
      <c r="BQ26" s="478" t="s">
        <v>144</v>
      </c>
      <c r="BR26" s="480">
        <v>0</v>
      </c>
      <c r="BS26" s="483"/>
    </row>
    <row r="27" spans="1:71" ht="21">
      <c r="A27" s="90">
        <v>524</v>
      </c>
      <c r="B27" s="130" t="s">
        <v>145</v>
      </c>
      <c r="C27" s="127"/>
      <c r="D27" s="93"/>
      <c r="E27" s="128">
        <f>'Agronomic traits'!F26</f>
        <v>96</v>
      </c>
      <c r="F27" s="128">
        <f>'Agronomic traits'!H26</f>
        <v>137</v>
      </c>
      <c r="G27" s="129">
        <f>'Agronomic traits'!I26</f>
        <v>74</v>
      </c>
      <c r="H27" s="129">
        <f>'Agronomic traits'!J26</f>
        <v>9</v>
      </c>
      <c r="I27" s="129">
        <f>'Agronomic traits'!K26</f>
        <v>1</v>
      </c>
      <c r="J27" s="130">
        <f>'Agronomic traits'!L26</f>
        <v>2</v>
      </c>
      <c r="K27" s="191" t="s">
        <v>145</v>
      </c>
      <c r="L27" s="132">
        <f>'Field plant descriptors'!C26</f>
        <v>2</v>
      </c>
      <c r="M27" s="128"/>
      <c r="N27" s="128">
        <f>'Field plant descriptors'!E26</f>
        <v>2</v>
      </c>
      <c r="O27" s="128">
        <f>'Field plant descriptors'!F26</f>
        <v>1</v>
      </c>
      <c r="P27" s="133">
        <f>AVERAGE('Field plant descriptors'!G26:L26)</f>
        <v>13.75</v>
      </c>
      <c r="Q27" s="134">
        <f>STDEV('Field plant descriptors'!G26:L26)</f>
        <v>0.7092249290598999</v>
      </c>
      <c r="R27" s="135">
        <f>'Field plant descriptors'!M26</f>
        <v>5</v>
      </c>
      <c r="S27" s="136" t="str">
        <f>'Diseases (blast)'!C29</f>
        <v>1-2</v>
      </c>
      <c r="T27" s="137">
        <f>'Diseases (blast)'!D29</f>
        <v>1</v>
      </c>
      <c r="U27" s="138"/>
      <c r="V27" s="138"/>
      <c r="W27" s="138"/>
      <c r="X27" s="139"/>
      <c r="Y27" s="130" t="s">
        <v>145</v>
      </c>
      <c r="Z27" s="140"/>
      <c r="AA27" s="141"/>
      <c r="AB27" s="142"/>
      <c r="AC27" s="143"/>
      <c r="AD27" s="144">
        <f>'Field grain descriptors'!C26</f>
        <v>1</v>
      </c>
      <c r="AE27" s="145" t="str">
        <f t="shared" si="2"/>
        <v>Absent</v>
      </c>
      <c r="AF27" s="144">
        <f>'Field grain descriptors'!D26</f>
        <v>9</v>
      </c>
      <c r="AG27" s="146">
        <f>AVERAGE('Field grain descriptors'!E26:H26)</f>
        <v>2.2775</v>
      </c>
      <c r="AH27" s="147">
        <f>STDEV('Field grain descriptors'!E26:H26)</f>
        <v>0.17075811352124318</v>
      </c>
      <c r="AI27" s="148" t="str">
        <f t="shared" si="3"/>
        <v>Medium</v>
      </c>
      <c r="AJ27" s="136">
        <f>'Field grain descriptors'!I26</f>
        <v>1</v>
      </c>
      <c r="AK27" s="130" t="s">
        <v>145</v>
      </c>
      <c r="AL27" s="144">
        <f>'Lab descriptors of grain qualit'!C26</f>
        <v>3</v>
      </c>
      <c r="AM27" s="149" t="str">
        <f t="shared" si="4"/>
        <v>Gold</v>
      </c>
      <c r="AN27" s="146">
        <f>AVERAGE('Lab descriptors of grain qualit'!D26:M26)</f>
        <v>6.874</v>
      </c>
      <c r="AO27" s="147">
        <f>STDEV('Lab descriptors of grain qualit'!D26:M26)</f>
        <v>0.19760791707037365</v>
      </c>
      <c r="AP27" s="146">
        <f>AVERAGE('Lab descriptors of grain qualit'!N26:W26)</f>
        <v>3.464</v>
      </c>
      <c r="AQ27" s="149">
        <f>STDEV('Lab descriptors of grain qualit'!N26:W26)</f>
        <v>0.1320942424517053</v>
      </c>
      <c r="AR27" s="382">
        <f t="shared" si="6"/>
        <v>1.9844110854503463</v>
      </c>
      <c r="AS27" s="147">
        <f>AVERAGE('Lab descriptors of grain qualit'!X26:AG26)</f>
        <v>1.9864763092613174</v>
      </c>
      <c r="AT27" s="381">
        <f>STDEV('Lab descriptors of grain qualit'!X26:AG26)</f>
        <v>0.08048416513026868</v>
      </c>
      <c r="AU27" s="130" t="s">
        <v>145</v>
      </c>
      <c r="AV27" s="146">
        <f>AVERAGE('Lab descriptors of grain qualit'!AI26:AR26)</f>
        <v>4.9590000000000005</v>
      </c>
      <c r="AW27" s="147">
        <f>STDEV('Lab descriptors of grain qualit'!AI26:AR26)</f>
        <v>0.20091181039339898</v>
      </c>
      <c r="AX27" s="146">
        <f>AVERAGE('Lab descriptors of grain qualit'!AS26:BB26)</f>
        <v>3.024</v>
      </c>
      <c r="AY27" s="147">
        <f>STDEV('Lab descriptors of grain qualit'!AS26:BB26)</f>
        <v>0.16276772816910917</v>
      </c>
      <c r="AZ27" s="146">
        <f>AVERAGE('Lab descriptors of grain qualit'!BC26:BL26)</f>
        <v>1.6422072113189565</v>
      </c>
      <c r="BA27" s="147">
        <f>STDEV('Lab descriptors of grain qualit'!BC26:BL26)</f>
        <v>0.06994303832724914</v>
      </c>
      <c r="BB27" s="151" t="str">
        <f t="shared" si="7"/>
        <v>Round</v>
      </c>
      <c r="BC27" s="133">
        <f>'Lab descriptors of grain qualit'!BM26</f>
        <v>25.89</v>
      </c>
      <c r="BD27" s="152">
        <f>'Lab descriptors of grain qualit'!BO26</f>
        <v>0.6886828891463885</v>
      </c>
      <c r="BE27" s="152">
        <f>'Lab descriptors of grain qualit'!BQ26</f>
        <v>0.6620316724604094</v>
      </c>
      <c r="BF27" s="130" t="s">
        <v>145</v>
      </c>
      <c r="BG27" s="386">
        <v>19.71</v>
      </c>
      <c r="BH27" s="153"/>
      <c r="BI27" s="154" t="str">
        <f t="shared" si="5"/>
        <v>High</v>
      </c>
      <c r="BJ27" s="154">
        <f>'Lab descriptors of grain qu (2)'!E26</f>
        <v>7</v>
      </c>
      <c r="BK27" s="155">
        <f>'Lab descriptors of grain qu (2)'!F26</f>
        <v>0.95</v>
      </c>
      <c r="BL27" s="154">
        <f>'Lab descriptors of grain qu (2)'!G26</f>
        <v>7</v>
      </c>
      <c r="BM27" s="156">
        <f>'Lab descriptors of grain qu (2)'!H26</f>
        <v>9</v>
      </c>
      <c r="BN27" s="157">
        <f>'Lab descriptors of grain qu (2)'!I26</f>
        <v>0</v>
      </c>
      <c r="BO27" s="158">
        <f>'Lab descriptors of grain qu (2)'!K26</f>
        <v>0</v>
      </c>
      <c r="BP27" s="140"/>
      <c r="BQ27" s="478" t="s">
        <v>145</v>
      </c>
      <c r="BR27" s="480">
        <v>6.5</v>
      </c>
      <c r="BS27" s="483"/>
    </row>
    <row r="28" spans="1:71" ht="21">
      <c r="A28" s="90">
        <v>527</v>
      </c>
      <c r="B28" s="130" t="s">
        <v>146</v>
      </c>
      <c r="C28" s="127"/>
      <c r="D28" s="93"/>
      <c r="E28" s="128">
        <f>'Agronomic traits'!F27</f>
        <v>76</v>
      </c>
      <c r="F28" s="128">
        <f>'Agronomic traits'!H27</f>
        <v>123</v>
      </c>
      <c r="G28" s="129">
        <f>'Agronomic traits'!I27</f>
        <v>67</v>
      </c>
      <c r="H28" s="129">
        <f>'Agronomic traits'!J27</f>
        <v>9</v>
      </c>
      <c r="I28" s="129">
        <f>'Agronomic traits'!K27</f>
        <v>1</v>
      </c>
      <c r="J28" s="130">
        <f>'Agronomic traits'!L27</f>
        <v>2</v>
      </c>
      <c r="K28" s="191" t="s">
        <v>146</v>
      </c>
      <c r="L28" s="132">
        <f>'Field plant descriptors'!C27</f>
        <v>2</v>
      </c>
      <c r="M28" s="128"/>
      <c r="N28" s="128">
        <f>'Field plant descriptors'!E27</f>
        <v>2</v>
      </c>
      <c r="O28" s="128">
        <f>'Field plant descriptors'!F27</f>
        <v>3</v>
      </c>
      <c r="P28" s="133">
        <f>AVERAGE('Field plant descriptors'!G27:L27)</f>
        <v>14.866666666666667</v>
      </c>
      <c r="Q28" s="134">
        <f>STDEV('Field plant descriptors'!G27:L27)</f>
        <v>1.0838204033264203</v>
      </c>
      <c r="R28" s="135">
        <f>'Field plant descriptors'!M27</f>
        <v>1</v>
      </c>
      <c r="S28" s="136">
        <f>'Diseases (blast)'!C30</f>
        <v>3</v>
      </c>
      <c r="T28" s="137">
        <f>'Diseases (blast)'!D30</f>
        <v>1</v>
      </c>
      <c r="U28" s="138"/>
      <c r="V28" s="138"/>
      <c r="W28" s="138"/>
      <c r="X28" s="139"/>
      <c r="Y28" s="130" t="s">
        <v>146</v>
      </c>
      <c r="Z28" s="140"/>
      <c r="AA28" s="141"/>
      <c r="AB28" s="142"/>
      <c r="AC28" s="143"/>
      <c r="AD28" s="144">
        <f>'Field grain descriptors'!C27</f>
        <v>1</v>
      </c>
      <c r="AE28" s="145" t="str">
        <f t="shared" si="2"/>
        <v>Absent</v>
      </c>
      <c r="AF28" s="144">
        <f>'Field grain descriptors'!D27</f>
        <v>9</v>
      </c>
      <c r="AG28" s="146">
        <f>AVERAGE('Field grain descriptors'!E27:H27)</f>
        <v>2.02</v>
      </c>
      <c r="AH28" s="147">
        <f>STDEV('Field grain descriptors'!E27:H27)</f>
        <v>0.20896570691543323</v>
      </c>
      <c r="AI28" s="148" t="str">
        <f t="shared" si="3"/>
        <v>Medium</v>
      </c>
      <c r="AJ28" s="136">
        <f>'Field grain descriptors'!I27</f>
        <v>1</v>
      </c>
      <c r="AK28" s="130" t="s">
        <v>146</v>
      </c>
      <c r="AL28" s="144">
        <f>'Lab descriptors of grain qualit'!C27</f>
        <v>3</v>
      </c>
      <c r="AM28" s="149" t="str">
        <f t="shared" si="4"/>
        <v>Gold</v>
      </c>
      <c r="AN28" s="146">
        <f>AVERAGE('Lab descriptors of grain qualit'!D27:M27)</f>
        <v>7.108000000000001</v>
      </c>
      <c r="AO28" s="147">
        <f>STDEV('Lab descriptors of grain qualit'!D27:M27)</f>
        <v>0.32505725991307743</v>
      </c>
      <c r="AP28" s="146">
        <f>AVERAGE('Lab descriptors of grain qualit'!N27:W27)</f>
        <v>3.232</v>
      </c>
      <c r="AQ28" s="149">
        <f>STDEV('Lab descriptors of grain qualit'!N27:W27)</f>
        <v>0.06844300142778623</v>
      </c>
      <c r="AR28" s="382">
        <f t="shared" si="6"/>
        <v>2.1992574257425748</v>
      </c>
      <c r="AS28" s="147">
        <f>AVERAGE('Lab descriptors of grain qualit'!X27:AG27)</f>
        <v>2.201014918147713</v>
      </c>
      <c r="AT28" s="381">
        <f>STDEV('Lab descriptors of grain qualit'!X27:AG27)</f>
        <v>0.12808953699901907</v>
      </c>
      <c r="AU28" s="130" t="s">
        <v>146</v>
      </c>
      <c r="AV28" s="146">
        <f>AVERAGE('Lab descriptors of grain qualit'!AI27:AR27)</f>
        <v>4.889</v>
      </c>
      <c r="AW28" s="147">
        <f>STDEV('Lab descriptors of grain qualit'!AI27:AR27)</f>
        <v>0.21210322434553894</v>
      </c>
      <c r="AX28" s="146">
        <f>AVERAGE('Lab descriptors of grain qualit'!AS27:BB27)</f>
        <v>2.7640000000000002</v>
      </c>
      <c r="AY28" s="147">
        <f>STDEV('Lab descriptors of grain qualit'!AS27:BB27)</f>
        <v>0.12920268315067204</v>
      </c>
      <c r="AZ28" s="146">
        <f>AVERAGE('Lab descriptors of grain qualit'!BC27:BL27)</f>
        <v>1.7693703156038947</v>
      </c>
      <c r="BA28" s="147">
        <f>STDEV('Lab descriptors of grain qualit'!BC27:BL27)</f>
        <v>0.036101394660296215</v>
      </c>
      <c r="BB28" s="151" t="str">
        <f t="shared" si="7"/>
        <v>Round</v>
      </c>
      <c r="BC28" s="133">
        <f>'Lab descriptors of grain qualit'!BM27</f>
        <v>23.26</v>
      </c>
      <c r="BD28" s="152">
        <f>'Lab descriptors of grain qualit'!BO27</f>
        <v>0.7188306104901117</v>
      </c>
      <c r="BE28" s="152">
        <f>'Lab descriptors of grain qualit'!BQ27</f>
        <v>0.5739466895958727</v>
      </c>
      <c r="BF28" s="130" t="s">
        <v>146</v>
      </c>
      <c r="BG28" s="386">
        <v>19.12</v>
      </c>
      <c r="BH28" s="153"/>
      <c r="BI28" s="154" t="str">
        <f t="shared" si="5"/>
        <v>High</v>
      </c>
      <c r="BJ28" s="154">
        <f>'Lab descriptors of grain qu (2)'!E27</f>
        <v>6</v>
      </c>
      <c r="BK28" s="155">
        <f>'Lab descriptors of grain qu (2)'!F27</f>
        <v>0.74</v>
      </c>
      <c r="BL28" s="154">
        <f>'Lab descriptors of grain qu (2)'!G27</f>
        <v>5</v>
      </c>
      <c r="BM28" s="156">
        <f>'Lab descriptors of grain qu (2)'!H27</f>
        <v>5</v>
      </c>
      <c r="BN28" s="157">
        <f>'Lab descriptors of grain qu (2)'!I27</f>
        <v>1</v>
      </c>
      <c r="BO28" s="158">
        <f>'Lab descriptors of grain qu (2)'!K27</f>
        <v>0</v>
      </c>
      <c r="BP28" s="140"/>
      <c r="BQ28" s="478" t="s">
        <v>146</v>
      </c>
      <c r="BR28" s="480">
        <v>5.5</v>
      </c>
      <c r="BS28" s="483"/>
    </row>
    <row r="29" spans="1:71" ht="21">
      <c r="A29" s="90">
        <v>534</v>
      </c>
      <c r="B29" s="130" t="s">
        <v>147</v>
      </c>
      <c r="C29" s="127"/>
      <c r="D29" s="93"/>
      <c r="E29" s="128">
        <f>'Agronomic traits'!F28</f>
        <v>102</v>
      </c>
      <c r="F29" s="128">
        <f>'Agronomic traits'!H28</f>
        <v>149</v>
      </c>
      <c r="G29" s="129">
        <f>'Agronomic traits'!I28</f>
        <v>85</v>
      </c>
      <c r="H29" s="129">
        <f>'Agronomic traits'!J28</f>
        <v>9</v>
      </c>
      <c r="I29" s="129">
        <f>'Agronomic traits'!K28</f>
        <v>1</v>
      </c>
      <c r="J29" s="130">
        <f>'Agronomic traits'!L28</f>
        <v>3</v>
      </c>
      <c r="K29" s="191" t="s">
        <v>147</v>
      </c>
      <c r="L29" s="132">
        <f>'Field plant descriptors'!C28</f>
        <v>2</v>
      </c>
      <c r="M29" s="128"/>
      <c r="N29" s="128">
        <f>'Field plant descriptors'!E28</f>
        <v>4</v>
      </c>
      <c r="O29" s="128">
        <f>'Field plant descriptors'!F28</f>
        <v>3</v>
      </c>
      <c r="P29" s="133">
        <f>AVERAGE('Field plant descriptors'!G28:L28)</f>
        <v>18.150000000000002</v>
      </c>
      <c r="Q29" s="134">
        <f>STDEV('Field plant descriptors'!G28:L28)</f>
        <v>0.6024948132556918</v>
      </c>
      <c r="R29" s="135">
        <f>'Field plant descriptors'!M28</f>
        <v>5</v>
      </c>
      <c r="S29" s="136">
        <f>'Diseases (blast)'!C31</f>
        <v>5</v>
      </c>
      <c r="T29" s="137">
        <f>'Diseases (blast)'!D31</f>
        <v>1</v>
      </c>
      <c r="U29" s="138"/>
      <c r="V29" s="138"/>
      <c r="W29" s="138"/>
      <c r="X29" s="139"/>
      <c r="Y29" s="130" t="s">
        <v>147</v>
      </c>
      <c r="Z29" s="140"/>
      <c r="AA29" s="141"/>
      <c r="AB29" s="142"/>
      <c r="AC29" s="143"/>
      <c r="AD29" s="144">
        <f>'Field grain descriptors'!C28</f>
        <v>1</v>
      </c>
      <c r="AE29" s="145" t="str">
        <f t="shared" si="2"/>
        <v>Absent</v>
      </c>
      <c r="AF29" s="144">
        <f>'Field grain descriptors'!D28</f>
        <v>5</v>
      </c>
      <c r="AG29" s="146">
        <f>AVERAGE('Field grain descriptors'!E28:H28)</f>
        <v>2.9825</v>
      </c>
      <c r="AH29" s="147">
        <f>STDEV('Field grain descriptors'!E28:H28)</f>
        <v>0.29970819141291805</v>
      </c>
      <c r="AI29" s="148" t="str">
        <f t="shared" si="3"/>
        <v>Long</v>
      </c>
      <c r="AJ29" s="136">
        <f>'Field grain descriptors'!I28</f>
        <v>1</v>
      </c>
      <c r="AK29" s="130" t="s">
        <v>147</v>
      </c>
      <c r="AL29" s="144">
        <f>'Lab descriptors of grain qualit'!C28</f>
        <v>3</v>
      </c>
      <c r="AM29" s="149" t="str">
        <f t="shared" si="4"/>
        <v>Gold</v>
      </c>
      <c r="AN29" s="146">
        <f>AVERAGE('Lab descriptors of grain qualit'!D28:M28)</f>
        <v>7.377</v>
      </c>
      <c r="AO29" s="147">
        <f>STDEV('Lab descriptors of grain qualit'!D28:M28)</f>
        <v>0.27745069632081026</v>
      </c>
      <c r="AP29" s="146">
        <f>AVERAGE('Lab descriptors of grain qualit'!N28:W28)</f>
        <v>3.393</v>
      </c>
      <c r="AQ29" s="149">
        <f>STDEV('Lab descriptors of grain qualit'!N28:W28)</f>
        <v>0.10044899203079195</v>
      </c>
      <c r="AR29" s="382">
        <f t="shared" si="6"/>
        <v>2.174182139699381</v>
      </c>
      <c r="AS29" s="147">
        <f>AVERAGE('Lab descriptors of grain qualit'!X28:AG28)</f>
        <v>2.175210377994896</v>
      </c>
      <c r="AT29" s="381">
        <f>STDEV('Lab descriptors of grain qualit'!X28:AG28)</f>
        <v>0.08525967714411001</v>
      </c>
      <c r="AU29" s="130" t="s">
        <v>147</v>
      </c>
      <c r="AV29" s="146">
        <f>AVERAGE('Lab descriptors of grain qualit'!AI28:AR28)</f>
        <v>5.258</v>
      </c>
      <c r="AW29" s="147">
        <f>STDEV('Lab descriptors of grain qualit'!AI28:AR28)</f>
        <v>0.08121302577513156</v>
      </c>
      <c r="AX29" s="146">
        <f>AVERAGE('Lab descriptors of grain qualit'!AS28:BB28)</f>
        <v>3.038</v>
      </c>
      <c r="AY29" s="147">
        <f>STDEV('Lab descriptors of grain qualit'!AS28:BB28)</f>
        <v>0.10031062866028617</v>
      </c>
      <c r="AZ29" s="146">
        <f>AVERAGE('Lab descriptors of grain qualit'!BC28:BL28)</f>
        <v>1.732233776050392</v>
      </c>
      <c r="BA29" s="147">
        <f>STDEV('Lab descriptors of grain qualit'!BC28:BL28)</f>
        <v>0.05648673506554938</v>
      </c>
      <c r="BB29" s="151" t="str">
        <f t="shared" si="7"/>
        <v>Medium</v>
      </c>
      <c r="BC29" s="133">
        <f>'Lab descriptors of grain qualit'!BM28</f>
        <v>29.19</v>
      </c>
      <c r="BD29" s="152">
        <f>'Lab descriptors of grain qualit'!BO28</f>
        <v>0.7040082219938335</v>
      </c>
      <c r="BE29" s="152">
        <f>'Lab descriptors of grain qualit'!BQ28</f>
        <v>0.6776293251113396</v>
      </c>
      <c r="BF29" s="130" t="s">
        <v>147</v>
      </c>
      <c r="BG29" s="386">
        <v>19.84</v>
      </c>
      <c r="BH29" s="153"/>
      <c r="BI29" s="154" t="str">
        <f t="shared" si="5"/>
        <v>High</v>
      </c>
      <c r="BJ29" s="154">
        <f>'Lab descriptors of grain qu (2)'!E28</f>
        <v>7</v>
      </c>
      <c r="BK29" s="155">
        <f>'Lab descriptors of grain qu (2)'!F28</f>
        <v>0.95</v>
      </c>
      <c r="BL29" s="154">
        <f>'Lab descriptors of grain qu (2)'!G28</f>
        <v>5</v>
      </c>
      <c r="BM29" s="156">
        <f>'Lab descriptors of grain qu (2)'!H28</f>
        <v>5</v>
      </c>
      <c r="BN29" s="157">
        <f>'Lab descriptors of grain qu (2)'!I28</f>
        <v>0</v>
      </c>
      <c r="BO29" s="158">
        <f>'Lab descriptors of grain qu (2)'!K28</f>
        <v>0</v>
      </c>
      <c r="BP29" s="140"/>
      <c r="BQ29" s="478" t="s">
        <v>147</v>
      </c>
      <c r="BR29" s="480">
        <v>10.5</v>
      </c>
      <c r="BS29" s="483" t="s">
        <v>408</v>
      </c>
    </row>
    <row r="30" spans="1:71" ht="21">
      <c r="A30" s="90">
        <v>539</v>
      </c>
      <c r="B30" s="130" t="s">
        <v>148</v>
      </c>
      <c r="C30" s="127"/>
      <c r="D30" s="93"/>
      <c r="E30" s="128">
        <f>'Agronomic traits'!F29</f>
        <v>100</v>
      </c>
      <c r="F30" s="128">
        <f>'Agronomic traits'!H29</f>
        <v>146</v>
      </c>
      <c r="G30" s="129">
        <f>'Agronomic traits'!I29</f>
        <v>100</v>
      </c>
      <c r="H30" s="129">
        <f>'Agronomic traits'!J29</f>
        <v>9</v>
      </c>
      <c r="I30" s="129">
        <f>'Agronomic traits'!K29</f>
        <v>1</v>
      </c>
      <c r="J30" s="130">
        <f>'Agronomic traits'!L29</f>
        <v>2</v>
      </c>
      <c r="K30" s="191" t="s">
        <v>148</v>
      </c>
      <c r="L30" s="132">
        <f>'Field plant descriptors'!C29</f>
        <v>2</v>
      </c>
      <c r="M30" s="128"/>
      <c r="N30" s="128">
        <f>'Field plant descriptors'!E29</f>
        <v>5</v>
      </c>
      <c r="O30" s="128">
        <f>'Field plant descriptors'!F29</f>
        <v>3</v>
      </c>
      <c r="P30" s="133">
        <f>AVERAGE('Field plant descriptors'!G29:L29)</f>
        <v>17.9</v>
      </c>
      <c r="Q30" s="134">
        <f>STDEV('Field plant descriptors'!G29:L29)</f>
        <v>0.723878442834202</v>
      </c>
      <c r="R30" s="135">
        <f>'Field plant descriptors'!M29</f>
        <v>5</v>
      </c>
      <c r="S30" s="136">
        <f>'Diseases (blast)'!C32</f>
        <v>5</v>
      </c>
      <c r="T30" s="137">
        <f>'Diseases (blast)'!D32</f>
        <v>1</v>
      </c>
      <c r="U30" s="138"/>
      <c r="V30" s="138"/>
      <c r="W30" s="138"/>
      <c r="X30" s="139"/>
      <c r="Y30" s="130" t="s">
        <v>148</v>
      </c>
      <c r="Z30" s="140"/>
      <c r="AA30" s="141"/>
      <c r="AB30" s="142"/>
      <c r="AC30" s="143"/>
      <c r="AD30" s="144">
        <f>'Field grain descriptors'!C29</f>
        <v>9</v>
      </c>
      <c r="AE30" s="145" t="str">
        <f t="shared" si="2"/>
        <v>Present</v>
      </c>
      <c r="AF30" s="144">
        <f>'Field grain descriptors'!D29</f>
        <v>9</v>
      </c>
      <c r="AG30" s="146">
        <f>AVERAGE('Field grain descriptors'!E29:H29)</f>
        <v>2.6774999999999998</v>
      </c>
      <c r="AH30" s="147">
        <f>STDEV('Field grain descriptors'!E29:H29)</f>
        <v>0.21281838892978347</v>
      </c>
      <c r="AI30" s="148" t="str">
        <f t="shared" si="3"/>
        <v>Long</v>
      </c>
      <c r="AJ30" s="136">
        <f>'Field grain descriptors'!I29</f>
        <v>1</v>
      </c>
      <c r="AK30" s="130" t="s">
        <v>148</v>
      </c>
      <c r="AL30" s="144">
        <f>'Lab descriptors of grain qualit'!C29</f>
        <v>3</v>
      </c>
      <c r="AM30" s="149" t="str">
        <f t="shared" si="4"/>
        <v>Gold</v>
      </c>
      <c r="AN30" s="146">
        <f>AVERAGE('Lab descriptors of grain qualit'!D29:M29)</f>
        <v>7.94</v>
      </c>
      <c r="AO30" s="147">
        <f>STDEV('Lab descriptors of grain qualit'!D29:M29)</f>
        <v>0.358081306719887</v>
      </c>
      <c r="AP30" s="146">
        <f>AVERAGE('Lab descriptors of grain qualit'!N29:W29)</f>
        <v>3.529000000000001</v>
      </c>
      <c r="AQ30" s="149">
        <f>STDEV('Lab descriptors of grain qualit'!N29:W29)</f>
        <v>0.13584713631298737</v>
      </c>
      <c r="AR30" s="382">
        <f t="shared" si="6"/>
        <v>2.2499291584018133</v>
      </c>
      <c r="AS30" s="147">
        <f>AVERAGE('Lab descriptors of grain qualit'!X29:AG29)</f>
        <v>2.2520557233291307</v>
      </c>
      <c r="AT30" s="381">
        <f>STDEV('Lab descriptors of grain qualit'!X29:AG29)</f>
        <v>0.11376122842665105</v>
      </c>
      <c r="AU30" s="130" t="s">
        <v>148</v>
      </c>
      <c r="AV30" s="146">
        <f>AVERAGE('Lab descriptors of grain qualit'!AI29:AR29)</f>
        <v>5.612</v>
      </c>
      <c r="AW30" s="147">
        <f>STDEV('Lab descriptors of grain qualit'!AI29:AR29)</f>
        <v>0.10141224997226525</v>
      </c>
      <c r="AX30" s="146">
        <f>AVERAGE('Lab descriptors of grain qualit'!AS29:BB29)</f>
        <v>3.0300000000000002</v>
      </c>
      <c r="AY30" s="147">
        <f>STDEV('Lab descriptors of grain qualit'!AS29:BB29)</f>
        <v>0.12382783747338041</v>
      </c>
      <c r="AZ30" s="146">
        <f>AVERAGE('Lab descriptors of grain qualit'!BC29:BL29)</f>
        <v>1.8545980908507267</v>
      </c>
      <c r="BA30" s="147">
        <f>STDEV('Lab descriptors of grain qualit'!BC29:BL29)</f>
        <v>0.07369829879586388</v>
      </c>
      <c r="BB30" s="151" t="str">
        <f t="shared" si="7"/>
        <v>Medium</v>
      </c>
      <c r="BC30" s="133">
        <f>'Lab descriptors of grain qualit'!BM29</f>
        <v>31.72</v>
      </c>
      <c r="BD30" s="152">
        <f>'Lab descriptors of grain qualit'!BO29</f>
        <v>0.6724464060529634</v>
      </c>
      <c r="BE30" s="152">
        <f>'Lab descriptors of grain qualit'!BQ29</f>
        <v>0.6383984867591426</v>
      </c>
      <c r="BF30" s="130" t="s">
        <v>148</v>
      </c>
      <c r="BG30" s="386">
        <v>20.92</v>
      </c>
      <c r="BH30" s="153"/>
      <c r="BI30" s="154" t="str">
        <f t="shared" si="5"/>
        <v>High</v>
      </c>
      <c r="BJ30" s="154">
        <f>'Lab descriptors of grain qu (2)'!E29</f>
        <v>6</v>
      </c>
      <c r="BK30" s="155">
        <f>'Lab descriptors of grain qu (2)'!F29</f>
        <v>1</v>
      </c>
      <c r="BL30" s="154">
        <f>'Lab descriptors of grain qu (2)'!G29</f>
        <v>7</v>
      </c>
      <c r="BM30" s="156">
        <f>'Lab descriptors of grain qu (2)'!H29</f>
        <v>9</v>
      </c>
      <c r="BN30" s="157">
        <f>'Lab descriptors of grain qu (2)'!I29</f>
        <v>0</v>
      </c>
      <c r="BO30" s="158">
        <f>'Lab descriptors of grain qu (2)'!K29</f>
        <v>0</v>
      </c>
      <c r="BP30" s="140"/>
      <c r="BQ30" s="478" t="s">
        <v>148</v>
      </c>
      <c r="BR30" s="480">
        <v>14</v>
      </c>
      <c r="BS30" s="483" t="s">
        <v>408</v>
      </c>
    </row>
    <row r="31" spans="1:71" ht="21">
      <c r="A31" s="90">
        <v>540</v>
      </c>
      <c r="B31" s="126" t="s">
        <v>149</v>
      </c>
      <c r="C31" s="127"/>
      <c r="D31" s="93"/>
      <c r="E31" s="128">
        <f>'Agronomic traits'!F30</f>
        <v>96</v>
      </c>
      <c r="F31" s="128">
        <f>'Agronomic traits'!H30</f>
        <v>152</v>
      </c>
      <c r="G31" s="129">
        <f>'Agronomic traits'!I30</f>
        <v>80</v>
      </c>
      <c r="H31" s="129">
        <f>'Agronomic traits'!J30</f>
        <v>9</v>
      </c>
      <c r="I31" s="129">
        <f>'Agronomic traits'!K30</f>
        <v>2</v>
      </c>
      <c r="J31" s="130">
        <f>'Agronomic traits'!L30</f>
        <v>2</v>
      </c>
      <c r="K31" s="131" t="s">
        <v>149</v>
      </c>
      <c r="L31" s="132">
        <f>'Field plant descriptors'!C30</f>
        <v>2</v>
      </c>
      <c r="M31" s="128"/>
      <c r="N31" s="128">
        <f>'Field plant descriptors'!E30</f>
        <v>2</v>
      </c>
      <c r="O31" s="128">
        <f>'Field plant descriptors'!F30</f>
        <v>1</v>
      </c>
      <c r="P31" s="133">
        <f>AVERAGE('Field plant descriptors'!G30:L30)</f>
        <v>12.633333333333333</v>
      </c>
      <c r="Q31" s="134">
        <f>STDEV('Field plant descriptors'!G30:L30)</f>
        <v>1.4109098719148134</v>
      </c>
      <c r="R31" s="135">
        <f>'Field plant descriptors'!M30</f>
        <v>5</v>
      </c>
      <c r="S31" s="136">
        <f>'Diseases (blast)'!C33</f>
        <v>4</v>
      </c>
      <c r="T31" s="137">
        <f>'Diseases (blast)'!D33</f>
        <v>1</v>
      </c>
      <c r="U31" s="138"/>
      <c r="V31" s="138"/>
      <c r="W31" s="138"/>
      <c r="X31" s="139"/>
      <c r="Y31" s="126" t="s">
        <v>149</v>
      </c>
      <c r="Z31" s="140"/>
      <c r="AA31" s="141"/>
      <c r="AB31" s="142"/>
      <c r="AC31" s="143"/>
      <c r="AD31" s="144">
        <f>'Field grain descriptors'!C30</f>
        <v>1</v>
      </c>
      <c r="AE31" s="145" t="str">
        <f t="shared" si="2"/>
        <v>Absent</v>
      </c>
      <c r="AF31" s="144">
        <f>'Field grain descriptors'!D30</f>
        <v>9</v>
      </c>
      <c r="AG31" s="146">
        <f>AVERAGE('Field grain descriptors'!E30:H30)</f>
        <v>2.4299999999999997</v>
      </c>
      <c r="AH31" s="147">
        <f>STDEV('Field grain descriptors'!E30:H30)</f>
        <v>0.2639444385977263</v>
      </c>
      <c r="AI31" s="148" t="str">
        <f t="shared" si="3"/>
        <v>Medium</v>
      </c>
      <c r="AJ31" s="136">
        <f>'Field grain descriptors'!I30</f>
        <v>1</v>
      </c>
      <c r="AK31" s="126" t="s">
        <v>149</v>
      </c>
      <c r="AL31" s="144">
        <f>'Lab descriptors of grain qualit'!C30</f>
        <v>3</v>
      </c>
      <c r="AM31" s="149" t="str">
        <f t="shared" si="4"/>
        <v>Gold</v>
      </c>
      <c r="AN31" s="146">
        <f>AVERAGE('Lab descriptors of grain qualit'!D30:M30)</f>
        <v>8.056000000000001</v>
      </c>
      <c r="AO31" s="147">
        <f>STDEV('Lab descriptors of grain qualit'!D30:M30)</f>
        <v>0.26403703443937665</v>
      </c>
      <c r="AP31" s="146">
        <f>AVERAGE('Lab descriptors of grain qualit'!N30:W30)</f>
        <v>3.41</v>
      </c>
      <c r="AQ31" s="149">
        <f>STDEV('Lab descriptors of grain qualit'!N30:W30)</f>
        <v>0.1424390707948075</v>
      </c>
      <c r="AR31" s="382">
        <f t="shared" si="6"/>
        <v>2.3624633431085047</v>
      </c>
      <c r="AS31" s="147">
        <f>AVERAGE('Lab descriptors of grain qualit'!X30:AG30)</f>
        <v>2.3665466115975033</v>
      </c>
      <c r="AT31" s="381">
        <f>STDEV('Lab descriptors of grain qualit'!X30:AG30)</f>
        <v>0.13293589426676178</v>
      </c>
      <c r="AU31" s="126" t="s">
        <v>149</v>
      </c>
      <c r="AV31" s="146">
        <f>AVERAGE('Lab descriptors of grain qualit'!AI30:AR30)</f>
        <v>5.61</v>
      </c>
      <c r="AW31" s="147">
        <f>STDEV('Lab descriptors of grain qualit'!AI30:AR30)</f>
        <v>0.10088497300282585</v>
      </c>
      <c r="AX31" s="146">
        <f>AVERAGE('Lab descriptors of grain qualit'!AS30:BB30)</f>
        <v>2.907</v>
      </c>
      <c r="AY31" s="147">
        <f>STDEV('Lab descriptors of grain qualit'!AS30:BB30)</f>
        <v>0.1440717413883361</v>
      </c>
      <c r="AZ31" s="146">
        <f>AVERAGE('Lab descriptors of grain qualit'!BC30:BL30)</f>
        <v>1.9338930648888049</v>
      </c>
      <c r="BA31" s="147">
        <f>STDEV('Lab descriptors of grain qualit'!BC30:BL30)</f>
        <v>0.09607436655914148</v>
      </c>
      <c r="BB31" s="151" t="str">
        <f t="shared" si="7"/>
        <v>Medium</v>
      </c>
      <c r="BC31" s="133">
        <f>'Lab descriptors of grain qualit'!BM30</f>
        <v>28.98</v>
      </c>
      <c r="BD31" s="152">
        <f>'Lab descriptors of grain qualit'!BO30</f>
        <v>0.6797791580400275</v>
      </c>
      <c r="BE31" s="152">
        <f>'Lab descriptors of grain qualit'!BQ30</f>
        <v>0.6645962732919255</v>
      </c>
      <c r="BF31" s="126" t="s">
        <v>149</v>
      </c>
      <c r="BG31" s="386">
        <v>17.99</v>
      </c>
      <c r="BH31" s="153"/>
      <c r="BI31" s="154" t="str">
        <f t="shared" si="5"/>
        <v>High</v>
      </c>
      <c r="BJ31" s="154">
        <f>'Lab descriptors of grain qu (2)'!E30</f>
        <v>7</v>
      </c>
      <c r="BK31" s="155">
        <f>'Lab descriptors of grain qu (2)'!F30</f>
        <v>0.52</v>
      </c>
      <c r="BL31" s="154">
        <f>'Lab descriptors of grain qu (2)'!G30</f>
        <v>5</v>
      </c>
      <c r="BM31" s="156">
        <f>'Lab descriptors of grain qu (2)'!H30</f>
        <v>5</v>
      </c>
      <c r="BN31" s="157">
        <f>'Lab descriptors of grain qu (2)'!I30</f>
        <v>0</v>
      </c>
      <c r="BO31" s="158">
        <f>'Lab descriptors of grain qu (2)'!K30</f>
        <v>0</v>
      </c>
      <c r="BP31" s="140"/>
      <c r="BQ31" s="476" t="s">
        <v>149</v>
      </c>
      <c r="BR31" s="480">
        <v>6</v>
      </c>
      <c r="BS31" s="483"/>
    </row>
    <row r="32" spans="1:71" ht="21">
      <c r="A32" s="90">
        <v>547</v>
      </c>
      <c r="B32" s="159" t="s">
        <v>150</v>
      </c>
      <c r="C32" s="160"/>
      <c r="D32" s="161"/>
      <c r="E32" s="162">
        <f>'Agronomic traits'!F31</f>
        <v>126</v>
      </c>
      <c r="F32" s="162"/>
      <c r="G32" s="163">
        <f>'Agronomic traits'!I31</f>
        <v>70</v>
      </c>
      <c r="H32" s="163">
        <f>'Agronomic traits'!J31</f>
        <v>9</v>
      </c>
      <c r="I32" s="163">
        <f>'Agronomic traits'!K31</f>
        <v>7</v>
      </c>
      <c r="J32" s="159">
        <f>'Agronomic traits'!L31</f>
        <v>2</v>
      </c>
      <c r="K32" s="164" t="s">
        <v>150</v>
      </c>
      <c r="L32" s="165">
        <f>'Field plant descriptors'!C31</f>
        <v>2</v>
      </c>
      <c r="M32" s="162"/>
      <c r="N32" s="162">
        <f>'Field plant descriptors'!E31</f>
        <v>2</v>
      </c>
      <c r="O32" s="162">
        <f>'Field plant descriptors'!F31</f>
        <v>1</v>
      </c>
      <c r="P32" s="166">
        <f>AVERAGE('Field plant descriptors'!G31:L31)</f>
        <v>14.683333333333332</v>
      </c>
      <c r="Q32" s="167">
        <f>STDEV('Field plant descriptors'!G31:L31)</f>
        <v>1.3407709225168525</v>
      </c>
      <c r="R32" s="168">
        <f>'Field plant descriptors'!M31</f>
        <v>5</v>
      </c>
      <c r="S32" s="169" t="str">
        <f>'Diseases (blast)'!C34</f>
        <v>N/A</v>
      </c>
      <c r="T32" s="170" t="str">
        <f>'Diseases (blast)'!D34</f>
        <v>N/A</v>
      </c>
      <c r="U32" s="171"/>
      <c r="V32" s="171"/>
      <c r="W32" s="171"/>
      <c r="X32" s="172"/>
      <c r="Y32" s="159" t="s">
        <v>150</v>
      </c>
      <c r="Z32" s="173"/>
      <c r="AA32" s="174"/>
      <c r="AB32" s="175"/>
      <c r="AC32" s="176"/>
      <c r="AD32" s="177">
        <f>'Field grain descriptors'!C31</f>
        <v>1</v>
      </c>
      <c r="AE32" s="178" t="str">
        <f t="shared" si="2"/>
        <v>Absent</v>
      </c>
      <c r="AF32" s="177">
        <f>'Field grain descriptors'!D31</f>
        <v>5</v>
      </c>
      <c r="AG32" s="179"/>
      <c r="AH32" s="180"/>
      <c r="AI32" s="181"/>
      <c r="AJ32" s="169">
        <f>'Field grain descriptors'!I31</f>
        <v>1</v>
      </c>
      <c r="AK32" s="159" t="s">
        <v>150</v>
      </c>
      <c r="AL32" s="177"/>
      <c r="AM32" s="182"/>
      <c r="AN32" s="179"/>
      <c r="AO32" s="180"/>
      <c r="AP32" s="179"/>
      <c r="AQ32" s="182"/>
      <c r="AR32" s="383"/>
      <c r="AS32" s="180"/>
      <c r="AT32" s="384"/>
      <c r="AU32" s="159" t="s">
        <v>150</v>
      </c>
      <c r="AV32" s="179"/>
      <c r="AW32" s="180"/>
      <c r="AX32" s="179"/>
      <c r="AY32" s="180"/>
      <c r="AZ32" s="179"/>
      <c r="BA32" s="180"/>
      <c r="BB32" s="183"/>
      <c r="BC32" s="166"/>
      <c r="BD32" s="184"/>
      <c r="BE32" s="184"/>
      <c r="BF32" s="159" t="s">
        <v>150</v>
      </c>
      <c r="BG32" s="389"/>
      <c r="BH32" s="185"/>
      <c r="BI32" s="186"/>
      <c r="BJ32" s="186"/>
      <c r="BK32" s="187"/>
      <c r="BL32" s="186"/>
      <c r="BM32" s="188"/>
      <c r="BN32" s="189"/>
      <c r="BO32" s="190"/>
      <c r="BP32" s="173"/>
      <c r="BQ32" s="477" t="s">
        <v>150</v>
      </c>
      <c r="BR32" s="480">
        <v>1.5</v>
      </c>
      <c r="BS32" s="483"/>
    </row>
    <row r="33" spans="1:71" ht="21">
      <c r="A33" s="90">
        <v>553</v>
      </c>
      <c r="B33" s="159" t="s">
        <v>151</v>
      </c>
      <c r="C33" s="160"/>
      <c r="D33" s="161"/>
      <c r="E33" s="162">
        <f>'Agronomic traits'!F32</f>
        <v>90</v>
      </c>
      <c r="F33" s="162">
        <f>'Agronomic traits'!H32</f>
        <v>127</v>
      </c>
      <c r="G33" s="163">
        <f>'Agronomic traits'!I32</f>
        <v>80</v>
      </c>
      <c r="H33" s="163">
        <f>'Agronomic traits'!J32</f>
        <v>9</v>
      </c>
      <c r="I33" s="163">
        <f>'Agronomic traits'!K32</f>
        <v>7</v>
      </c>
      <c r="J33" s="159">
        <f>'Agronomic traits'!L32</f>
        <v>2</v>
      </c>
      <c r="K33" s="164" t="s">
        <v>151</v>
      </c>
      <c r="L33" s="165">
        <f>'Field plant descriptors'!C32</f>
        <v>2</v>
      </c>
      <c r="M33" s="162"/>
      <c r="N33" s="162">
        <f>'Field plant descriptors'!E32</f>
        <v>4</v>
      </c>
      <c r="O33" s="162">
        <f>'Field plant descriptors'!F32</f>
        <v>1</v>
      </c>
      <c r="P33" s="166">
        <f>AVERAGE('Field plant descriptors'!G32:L32)</f>
        <v>12.316666666666668</v>
      </c>
      <c r="Q33" s="167">
        <f>STDEV('Field plant descriptors'!G32:L32)</f>
        <v>0.7332575718440347</v>
      </c>
      <c r="R33" s="168">
        <f>'Field plant descriptors'!M32</f>
        <v>5</v>
      </c>
      <c r="S33" s="169" t="str">
        <f>'Diseases (blast)'!C35</f>
        <v>4-5</v>
      </c>
      <c r="T33" s="170">
        <f>'Diseases (blast)'!D35</f>
        <v>3</v>
      </c>
      <c r="U33" s="171"/>
      <c r="V33" s="171"/>
      <c r="W33" s="171"/>
      <c r="X33" s="172"/>
      <c r="Y33" s="159" t="s">
        <v>151</v>
      </c>
      <c r="Z33" s="173"/>
      <c r="AA33" s="174"/>
      <c r="AB33" s="175"/>
      <c r="AC33" s="176"/>
      <c r="AD33" s="177">
        <f>'Field grain descriptors'!C32</f>
        <v>1</v>
      </c>
      <c r="AE33" s="178" t="str">
        <f t="shared" si="2"/>
        <v>Absent</v>
      </c>
      <c r="AF33" s="177">
        <f>'Field grain descriptors'!D32</f>
        <v>7</v>
      </c>
      <c r="AG33" s="179">
        <f>AVERAGE('Field grain descriptors'!E32:H32)</f>
        <v>2.71</v>
      </c>
      <c r="AH33" s="180">
        <f>STDEV('Field grain descriptors'!E32:H32)</f>
        <v>0.2086464313937186</v>
      </c>
      <c r="AI33" s="181" t="str">
        <f t="shared" si="3"/>
        <v>Long</v>
      </c>
      <c r="AJ33" s="169">
        <f>'Field grain descriptors'!I32</f>
        <v>3</v>
      </c>
      <c r="AK33" s="159" t="s">
        <v>151</v>
      </c>
      <c r="AL33" s="177">
        <f>'Lab descriptors of grain qualit'!C32</f>
        <v>3</v>
      </c>
      <c r="AM33" s="182" t="str">
        <f t="shared" si="4"/>
        <v>Gold</v>
      </c>
      <c r="AN33" s="179">
        <f>AVERAGE('Lab descriptors of grain qualit'!D32:M32)</f>
        <v>9.102</v>
      </c>
      <c r="AO33" s="180">
        <f>STDEV('Lab descriptors of grain qualit'!D32:M32)</f>
        <v>0.29400680264243223</v>
      </c>
      <c r="AP33" s="179">
        <f>AVERAGE('Lab descriptors of grain qualit'!N32:W32)</f>
        <v>3.197</v>
      </c>
      <c r="AQ33" s="182">
        <f>STDEV('Lab descriptors of grain qualit'!N32:W32)</f>
        <v>0.16007290005910307</v>
      </c>
      <c r="AR33" s="383">
        <f>AN33/AP33</f>
        <v>2.847044103847357</v>
      </c>
      <c r="AS33" s="180">
        <f>AVERAGE('Lab descriptors of grain qualit'!X32:AG32)</f>
        <v>2.852564248014086</v>
      </c>
      <c r="AT33" s="384">
        <f>STDEV('Lab descriptors of grain qualit'!X32:AG32)</f>
        <v>0.15080795056248278</v>
      </c>
      <c r="AU33" s="159" t="s">
        <v>151</v>
      </c>
      <c r="AV33" s="179">
        <f>AVERAGE('Lab descriptors of grain qualit'!AI32:AR32)</f>
        <v>6.741</v>
      </c>
      <c r="AW33" s="180">
        <f>STDEV('Lab descriptors of grain qualit'!AI32:AR32)</f>
        <v>0.21470651804008364</v>
      </c>
      <c r="AX33" s="179">
        <f>AVERAGE('Lab descriptors of grain qualit'!AS32:BB32)</f>
        <v>2.777</v>
      </c>
      <c r="AY33" s="180">
        <f>STDEV('Lab descriptors of grain qualit'!AS32:BB32)</f>
        <v>0.09129317852087052</v>
      </c>
      <c r="AZ33" s="179">
        <f>AVERAGE('Lab descriptors of grain qualit'!BC32:BL32)</f>
        <v>2.4289607225504315</v>
      </c>
      <c r="BA33" s="180">
        <f>STDEV('Lab descriptors of grain qualit'!BC32:BL32)</f>
        <v>0.0889258707593742</v>
      </c>
      <c r="BB33" s="183" t="str">
        <f>IF(AND(AV33&lt;=5.2,AZ33&lt;2),"Round",IF(AND(AV33&gt;6,AZ33&lt;3),"Long A",IF(AND(AV33&gt;6,AZ33&gt;3),"Long B","Medium")))</f>
        <v>Long A</v>
      </c>
      <c r="BC33" s="166">
        <f>'Lab descriptors of grain qualit'!BM32</f>
        <v>29.96</v>
      </c>
      <c r="BD33" s="184">
        <f>'Lab descriptors of grain qualit'!BO32</f>
        <v>0.701935914552737</v>
      </c>
      <c r="BE33" s="184">
        <f>'Lab descriptors of grain qualit'!BQ32</f>
        <v>0.6508678237650201</v>
      </c>
      <c r="BF33" s="159" t="s">
        <v>151</v>
      </c>
      <c r="BG33" s="386">
        <v>15.32</v>
      </c>
      <c r="BH33" s="185"/>
      <c r="BI33" s="186" t="str">
        <f t="shared" si="5"/>
        <v>High</v>
      </c>
      <c r="BJ33" s="186">
        <f>'Lab descriptors of grain qu (2)'!E32</f>
        <v>6</v>
      </c>
      <c r="BK33" s="187">
        <f>'Lab descriptors of grain qu (2)'!F32</f>
        <v>0.92</v>
      </c>
      <c r="BL33" s="186">
        <f>'Lab descriptors of grain qu (2)'!G32</f>
        <v>9</v>
      </c>
      <c r="BM33" s="188">
        <f>'Lab descriptors of grain qu (2)'!H32</f>
        <v>5</v>
      </c>
      <c r="BN33" s="189">
        <f>'Lab descriptors of grain qu (2)'!I32</f>
        <v>9</v>
      </c>
      <c r="BO33" s="190">
        <f>'Lab descriptors of grain qu (2)'!K32</f>
        <v>0</v>
      </c>
      <c r="BP33" s="173"/>
      <c r="BQ33" s="477" t="s">
        <v>151</v>
      </c>
      <c r="BR33" s="480">
        <v>1</v>
      </c>
      <c r="BS33" s="483"/>
    </row>
    <row r="34" spans="1:71" ht="21">
      <c r="A34" s="90">
        <v>597</v>
      </c>
      <c r="B34" s="159" t="s">
        <v>152</v>
      </c>
      <c r="C34" s="160"/>
      <c r="D34" s="161"/>
      <c r="E34" s="162">
        <f>'Agronomic traits'!F33</f>
        <v>84</v>
      </c>
      <c r="F34" s="162">
        <f>'Agronomic traits'!H33</f>
        <v>121</v>
      </c>
      <c r="G34" s="163">
        <f>'Agronomic traits'!I33</f>
        <v>64</v>
      </c>
      <c r="H34" s="163">
        <f>'Agronomic traits'!J33</f>
        <v>9</v>
      </c>
      <c r="I34" s="163">
        <f>'Agronomic traits'!K33</f>
        <v>7</v>
      </c>
      <c r="J34" s="159">
        <f>'Agronomic traits'!L33</f>
        <v>2</v>
      </c>
      <c r="K34" s="164" t="s">
        <v>152</v>
      </c>
      <c r="L34" s="165">
        <f>'Field plant descriptors'!C33</f>
        <v>3</v>
      </c>
      <c r="M34" s="162"/>
      <c r="N34" s="162">
        <f>'Field plant descriptors'!E33</f>
        <v>4</v>
      </c>
      <c r="O34" s="162">
        <f>'Field plant descriptors'!F33</f>
        <v>1</v>
      </c>
      <c r="P34" s="166">
        <f>AVERAGE('Field plant descriptors'!G33:L33)</f>
        <v>11.800000000000002</v>
      </c>
      <c r="Q34" s="167">
        <f>STDEV('Field plant descriptors'!G33:L33)</f>
        <v>0.68992753242638</v>
      </c>
      <c r="R34" s="168">
        <f>'Field plant descriptors'!M33</f>
        <v>5</v>
      </c>
      <c r="S34" s="169" t="str">
        <f>'Diseases (blast)'!C37</f>
        <v>1-2</v>
      </c>
      <c r="T34" s="170">
        <f>'Diseases (blast)'!D37</f>
        <v>1</v>
      </c>
      <c r="U34" s="171"/>
      <c r="V34" s="171"/>
      <c r="W34" s="171"/>
      <c r="X34" s="172"/>
      <c r="Y34" s="159" t="s">
        <v>152</v>
      </c>
      <c r="Z34" s="173"/>
      <c r="AA34" s="174"/>
      <c r="AB34" s="175"/>
      <c r="AC34" s="176"/>
      <c r="AD34" s="177">
        <f>'Field grain descriptors'!C33</f>
        <v>1</v>
      </c>
      <c r="AE34" s="178" t="str">
        <f>IF(AD34=1,"Absent",IF(AD34=9,"Present","?"))</f>
        <v>Absent</v>
      </c>
      <c r="AF34" s="177">
        <f>'Field grain descriptors'!D33</f>
        <v>7</v>
      </c>
      <c r="AG34" s="179">
        <f>AVERAGE('Field grain descriptors'!E33:H33)</f>
        <v>2.185</v>
      </c>
      <c r="AH34" s="180">
        <f>STDEV('Field grain descriptors'!E33:H33)</f>
        <v>0.23288051299611237</v>
      </c>
      <c r="AI34" s="181" t="str">
        <f t="shared" si="3"/>
        <v>Medium</v>
      </c>
      <c r="AJ34" s="169">
        <f>'Field grain descriptors'!I33</f>
        <v>1</v>
      </c>
      <c r="AK34" s="159" t="s">
        <v>152</v>
      </c>
      <c r="AL34" s="177">
        <f>'Lab descriptors of grain qualit'!C33</f>
        <v>3</v>
      </c>
      <c r="AM34" s="182" t="str">
        <f t="shared" si="4"/>
        <v>Gold</v>
      </c>
      <c r="AN34" s="179">
        <f>AVERAGE('Lab descriptors of grain qualit'!D33:M33)</f>
        <v>7.946</v>
      </c>
      <c r="AO34" s="180">
        <f>STDEV('Lab descriptors of grain qualit'!D33:M33)</f>
        <v>0.24842615714848854</v>
      </c>
      <c r="AP34" s="179">
        <f>AVERAGE('Lab descriptors of grain qualit'!N33:W33)</f>
        <v>3.2610000000000006</v>
      </c>
      <c r="AQ34" s="182">
        <f>STDEV('Lab descriptors of grain qualit'!N33:W33)</f>
        <v>0.17483007623275204</v>
      </c>
      <c r="AR34" s="383">
        <f>AN34/AP34</f>
        <v>2.436675866298681</v>
      </c>
      <c r="AS34" s="180">
        <f>AVERAGE('Lab descriptors of grain qualit'!X33:AG33)</f>
        <v>2.4402148058663586</v>
      </c>
      <c r="AT34" s="384">
        <f>STDEV('Lab descriptors of grain qualit'!X33:AG33)</f>
        <v>0.08715383210668762</v>
      </c>
      <c r="AU34" s="159" t="s">
        <v>152</v>
      </c>
      <c r="AV34" s="179">
        <f>AVERAGE('Lab descriptors of grain qualit'!AI33:AR33)</f>
        <v>5.651000000000001</v>
      </c>
      <c r="AW34" s="180">
        <f>STDEV('Lab descriptors of grain qualit'!AI33:AR33)</f>
        <v>0.17045364309524833</v>
      </c>
      <c r="AX34" s="179">
        <f>AVERAGE('Lab descriptors of grain qualit'!AS33:BB33)</f>
        <v>2.8989999999999996</v>
      </c>
      <c r="AY34" s="180">
        <f>STDEV('Lab descriptors of grain qualit'!AS33:BB33)</f>
        <v>0.07894442489642119</v>
      </c>
      <c r="AZ34" s="179">
        <f>AVERAGE('Lab descriptors of grain qualit'!BC33:BL33)</f>
        <v>1.9496295485998831</v>
      </c>
      <c r="BA34" s="180">
        <f>STDEV('Lab descriptors of grain qualit'!BC33:BL33)</f>
        <v>0.04608606536243816</v>
      </c>
      <c r="BB34" s="183" t="str">
        <f>IF(AND(AV34&lt;=5.2,AZ34&lt;2),"Round",IF(AND(AV34&gt;6,AZ34&lt;3),"Long A",IF(AND(AV34&gt;6,AZ34&gt;3),"Long B","Medium")))</f>
        <v>Medium</v>
      </c>
      <c r="BC34" s="166">
        <f>'Lab descriptors of grain qualit'!BM33</f>
        <v>27.36</v>
      </c>
      <c r="BD34" s="184">
        <f>'Lab descriptors of grain qualit'!BO33</f>
        <v>0.6849415204678362</v>
      </c>
      <c r="BE34" s="184">
        <f>'Lab descriptors of grain qualit'!BQ33</f>
        <v>0.6224415204678363</v>
      </c>
      <c r="BF34" s="159" t="s">
        <v>152</v>
      </c>
      <c r="BG34" s="386">
        <v>19.01</v>
      </c>
      <c r="BH34" s="185"/>
      <c r="BI34" s="186" t="str">
        <f t="shared" si="5"/>
        <v>High</v>
      </c>
      <c r="BJ34" s="186">
        <f>'Lab descriptors of grain qu (2)'!E33</f>
        <v>6</v>
      </c>
      <c r="BK34" s="187">
        <f>'Lab descriptors of grain qu (2)'!F33</f>
        <v>0.68</v>
      </c>
      <c r="BL34" s="186">
        <f>'Lab descriptors of grain qu (2)'!G33</f>
        <v>5</v>
      </c>
      <c r="BM34" s="188">
        <f>'Lab descriptors of grain qu (2)'!H33</f>
        <v>5</v>
      </c>
      <c r="BN34" s="189">
        <f>'Lab descriptors of grain qu (2)'!I33</f>
        <v>0</v>
      </c>
      <c r="BO34" s="190">
        <f>'Lab descriptors of grain qu (2)'!K33</f>
        <v>0</v>
      </c>
      <c r="BP34" s="173"/>
      <c r="BQ34" s="477" t="s">
        <v>152</v>
      </c>
      <c r="BR34" s="480">
        <v>1</v>
      </c>
      <c r="BS34" s="483"/>
    </row>
    <row r="35" spans="1:71" ht="21">
      <c r="A35" s="90">
        <v>635</v>
      </c>
      <c r="B35" s="159" t="s">
        <v>153</v>
      </c>
      <c r="C35" s="160"/>
      <c r="D35" s="161"/>
      <c r="E35" s="162">
        <f>'Agronomic traits'!F34</f>
        <v>83</v>
      </c>
      <c r="F35" s="162">
        <f>'Agronomic traits'!H34</f>
        <v>121</v>
      </c>
      <c r="G35" s="163">
        <f>'Agronomic traits'!I34</f>
        <v>65</v>
      </c>
      <c r="H35" s="163">
        <f>'Agronomic traits'!J34</f>
        <v>9</v>
      </c>
      <c r="I35" s="163">
        <f>'Agronomic traits'!K34</f>
        <v>1</v>
      </c>
      <c r="J35" s="159">
        <f>'Agronomic traits'!L34</f>
        <v>2</v>
      </c>
      <c r="K35" s="164" t="s">
        <v>153</v>
      </c>
      <c r="L35" s="165">
        <f>'Field plant descriptors'!C34</f>
        <v>2</v>
      </c>
      <c r="M35" s="162"/>
      <c r="N35" s="162">
        <f>'Field plant descriptors'!E34</f>
        <v>5</v>
      </c>
      <c r="O35" s="162">
        <f>'Field plant descriptors'!F34</f>
        <v>2</v>
      </c>
      <c r="P35" s="166">
        <f>AVERAGE('Field plant descriptors'!G34:L34)</f>
        <v>13.35</v>
      </c>
      <c r="Q35" s="167">
        <f>STDEV('Field plant descriptors'!G34:L34)</f>
        <v>1.4418737808837645</v>
      </c>
      <c r="R35" s="168">
        <f>'Field plant descriptors'!M34</f>
        <v>5</v>
      </c>
      <c r="S35" s="169" t="str">
        <f>'Diseases (blast)'!C38</f>
        <v>4-5</v>
      </c>
      <c r="T35" s="170">
        <f>'Diseases (blast)'!D38</f>
        <v>1</v>
      </c>
      <c r="U35" s="171"/>
      <c r="V35" s="171"/>
      <c r="W35" s="171"/>
      <c r="X35" s="172"/>
      <c r="Y35" s="159" t="s">
        <v>153</v>
      </c>
      <c r="Z35" s="173"/>
      <c r="AA35" s="174"/>
      <c r="AB35" s="175"/>
      <c r="AC35" s="176"/>
      <c r="AD35" s="177">
        <f>'Field grain descriptors'!C34</f>
        <v>1</v>
      </c>
      <c r="AE35" s="178" t="str">
        <f t="shared" si="2"/>
        <v>Absent</v>
      </c>
      <c r="AF35" s="177">
        <f>'Field grain descriptors'!D34</f>
        <v>3</v>
      </c>
      <c r="AG35" s="179">
        <f>AVERAGE('Field grain descriptors'!E34:H34)</f>
        <v>2.77</v>
      </c>
      <c r="AH35" s="180">
        <f>STDEV('Field grain descriptors'!E34:H34)</f>
        <v>0.2634387974463885</v>
      </c>
      <c r="AI35" s="181" t="str">
        <f t="shared" si="3"/>
        <v>Long</v>
      </c>
      <c r="AJ35" s="169">
        <f>'Field grain descriptors'!I34</f>
        <v>1</v>
      </c>
      <c r="AK35" s="159" t="s">
        <v>153</v>
      </c>
      <c r="AL35" s="177">
        <f>'Lab descriptors of grain qualit'!C34</f>
        <v>3</v>
      </c>
      <c r="AM35" s="182" t="str">
        <f t="shared" si="4"/>
        <v>Gold</v>
      </c>
      <c r="AN35" s="179">
        <f>AVERAGE('Lab descriptors of grain qualit'!D34:M34)</f>
        <v>8.738000000000001</v>
      </c>
      <c r="AO35" s="180">
        <f>STDEV('Lab descriptors of grain qualit'!D34:M34)</f>
        <v>0.27683930356792247</v>
      </c>
      <c r="AP35" s="179">
        <f>AVERAGE('Lab descriptors of grain qualit'!N34:W34)</f>
        <v>2.953</v>
      </c>
      <c r="AQ35" s="182">
        <f>STDEV('Lab descriptors of grain qualit'!N34:W34)</f>
        <v>0.0911713892744062</v>
      </c>
      <c r="AR35" s="383">
        <f>AN35/AP35</f>
        <v>2.9590247206230957</v>
      </c>
      <c r="AS35" s="180">
        <f>AVERAGE('Lab descriptors of grain qualit'!X34:AG34)</f>
        <v>2.9610997628536304</v>
      </c>
      <c r="AT35" s="384">
        <f>STDEV('Lab descriptors of grain qualit'!X34:AG34)</f>
        <v>0.1202137851531747</v>
      </c>
      <c r="AU35" s="159" t="s">
        <v>153</v>
      </c>
      <c r="AV35" s="179">
        <f>AVERAGE('Lab descriptors of grain qualit'!AI34:AR34)</f>
        <v>6.296</v>
      </c>
      <c r="AW35" s="180">
        <f>STDEV('Lab descriptors of grain qualit'!AI34:AR34)</f>
        <v>0.24523005072335563</v>
      </c>
      <c r="AX35" s="179">
        <f>AVERAGE('Lab descriptors of grain qualit'!AS34:BB34)</f>
        <v>2.537</v>
      </c>
      <c r="AY35" s="180">
        <f>STDEV('Lab descriptors of grain qualit'!AS34:BB34)</f>
        <v>0.06750308634919344</v>
      </c>
      <c r="AZ35" s="179">
        <f>AVERAGE('Lab descriptors of grain qualit'!BC34:BL34)</f>
        <v>2.481884727801985</v>
      </c>
      <c r="BA35" s="180">
        <f>STDEV('Lab descriptors of grain qualit'!BC34:BL34)</f>
        <v>0.07677368798614938</v>
      </c>
      <c r="BB35" s="183" t="str">
        <f>IF(AND(AV35&lt;=5.2,AZ35&lt;2),"Round",IF(AND(AV35&gt;6,AZ35&lt;3),"Long A",IF(AND(AV35&gt;6,AZ35&gt;3),"Long B","Medium")))</f>
        <v>Long A</v>
      </c>
      <c r="BC35" s="166">
        <f>'Lab descriptors of grain qualit'!BM34</f>
        <v>27.52</v>
      </c>
      <c r="BD35" s="184">
        <f>'Lab descriptors of grain qualit'!BO34</f>
        <v>0.7100290697674418</v>
      </c>
      <c r="BE35" s="184">
        <f>'Lab descriptors of grain qualit'!BQ34</f>
        <v>0.6646075581395349</v>
      </c>
      <c r="BF35" s="159" t="s">
        <v>153</v>
      </c>
      <c r="BG35" s="386">
        <v>18.34</v>
      </c>
      <c r="BH35" s="185"/>
      <c r="BI35" s="186" t="str">
        <f t="shared" si="5"/>
        <v>High</v>
      </c>
      <c r="BJ35" s="186">
        <f>'Lab descriptors of grain qu (2)'!E34</f>
        <v>6</v>
      </c>
      <c r="BK35" s="187">
        <f>'Lab descriptors of grain qu (2)'!F34</f>
        <v>0.08</v>
      </c>
      <c r="BL35" s="186">
        <f>'Lab descriptors of grain qu (2)'!G34</f>
        <v>1</v>
      </c>
      <c r="BM35" s="188">
        <f>'Lab descriptors of grain qu (2)'!H34</f>
        <v>1</v>
      </c>
      <c r="BN35" s="189">
        <f>'Lab descriptors of grain qu (2)'!I34</f>
        <v>0</v>
      </c>
      <c r="BO35" s="190">
        <f>'Lab descriptors of grain qu (2)'!K34</f>
        <v>0</v>
      </c>
      <c r="BP35" s="173"/>
      <c r="BQ35" s="477" t="s">
        <v>153</v>
      </c>
      <c r="BR35" s="480">
        <v>0</v>
      </c>
      <c r="BS35" s="483"/>
    </row>
    <row r="36" spans="1:71" ht="21">
      <c r="A36" s="90">
        <v>667</v>
      </c>
      <c r="B36" s="159" t="s">
        <v>154</v>
      </c>
      <c r="C36" s="160"/>
      <c r="D36" s="161"/>
      <c r="E36" s="162">
        <f>'Agronomic traits'!F35</f>
        <v>91</v>
      </c>
      <c r="F36" s="162">
        <f>'Agronomic traits'!H35</f>
        <v>121</v>
      </c>
      <c r="G36" s="163">
        <f>'Agronomic traits'!I35</f>
        <v>95</v>
      </c>
      <c r="H36" s="163">
        <f>'Agronomic traits'!J35</f>
        <v>9</v>
      </c>
      <c r="I36" s="163">
        <f>'Agronomic traits'!K35</f>
        <v>1</v>
      </c>
      <c r="J36" s="159">
        <f>'Agronomic traits'!L35</f>
        <v>2</v>
      </c>
      <c r="K36" s="164" t="s">
        <v>154</v>
      </c>
      <c r="L36" s="165">
        <f>'Field plant descriptors'!C35</f>
        <v>5</v>
      </c>
      <c r="M36" s="162"/>
      <c r="N36" s="162">
        <f>'Field plant descriptors'!E35</f>
        <v>6</v>
      </c>
      <c r="O36" s="162">
        <f>'Field plant descriptors'!F35</f>
        <v>3</v>
      </c>
      <c r="P36" s="166">
        <f>AVERAGE('Field plant descriptors'!G35:L35)</f>
        <v>22.933333333333337</v>
      </c>
      <c r="Q36" s="167">
        <f>STDEV('Field plant descriptors'!G35:L35)</f>
        <v>2.122891110412065</v>
      </c>
      <c r="R36" s="168">
        <f>'Field plant descriptors'!M35</f>
        <v>7</v>
      </c>
      <c r="S36" s="169">
        <f>'Diseases (blast)'!C39</f>
        <v>5</v>
      </c>
      <c r="T36" s="170">
        <f>'Diseases (blast)'!D39</f>
        <v>1</v>
      </c>
      <c r="U36" s="171"/>
      <c r="V36" s="171"/>
      <c r="W36" s="171"/>
      <c r="X36" s="172"/>
      <c r="Y36" s="159" t="s">
        <v>154</v>
      </c>
      <c r="Z36" s="173"/>
      <c r="AA36" s="174"/>
      <c r="AB36" s="175"/>
      <c r="AC36" s="176"/>
      <c r="AD36" s="177">
        <f>'Field grain descriptors'!C35</f>
        <v>9</v>
      </c>
      <c r="AE36" s="178" t="str">
        <f t="shared" si="2"/>
        <v>Present</v>
      </c>
      <c r="AF36" s="177">
        <f>'Field grain descriptors'!D35</f>
        <v>1</v>
      </c>
      <c r="AG36" s="179">
        <f>AVERAGE('Field grain descriptors'!E35:H35)</f>
        <v>2.1275000000000004</v>
      </c>
      <c r="AH36" s="180">
        <f>STDEV('Field grain descriptors'!E35:H35)</f>
        <v>0.23200215516239805</v>
      </c>
      <c r="AI36" s="181" t="str">
        <f t="shared" si="3"/>
        <v>Medium</v>
      </c>
      <c r="AJ36" s="169">
        <f>'Field grain descriptors'!I35</f>
        <v>1</v>
      </c>
      <c r="AK36" s="159" t="s">
        <v>154</v>
      </c>
      <c r="AL36" s="177">
        <f>'Lab descriptors of grain qualit'!C35</f>
        <v>3</v>
      </c>
      <c r="AM36" s="182" t="str">
        <f t="shared" si="4"/>
        <v>Gold</v>
      </c>
      <c r="AN36" s="179">
        <f>AVERAGE('Lab descriptors of grain qualit'!D35:M35)</f>
        <v>8.921</v>
      </c>
      <c r="AO36" s="180">
        <f>STDEV('Lab descriptors of grain qualit'!D35:M35)</f>
        <v>0.45481253769488866</v>
      </c>
      <c r="AP36" s="179">
        <f>AVERAGE('Lab descriptors of grain qualit'!N35:W35)</f>
        <v>2.466</v>
      </c>
      <c r="AQ36" s="182">
        <f>STDEV('Lab descriptors of grain qualit'!N35:W35)</f>
        <v>0.055216744642240204</v>
      </c>
      <c r="AR36" s="383">
        <f>AN36/AP36</f>
        <v>3.617599351175993</v>
      </c>
      <c r="AS36" s="180">
        <f>AVERAGE('Lab descriptors of grain qualit'!X35:AG35)</f>
        <v>3.619878106876146</v>
      </c>
      <c r="AT36" s="384">
        <f>STDEV('Lab descriptors of grain qualit'!X35:AG35)</f>
        <v>0.21239508866633874</v>
      </c>
      <c r="AU36" s="159" t="s">
        <v>154</v>
      </c>
      <c r="AV36" s="179">
        <f>AVERAGE('Lab descriptors of grain qualit'!AI35:AR35)</f>
        <v>6.669</v>
      </c>
      <c r="AW36" s="180">
        <f>STDEV('Lab descriptors of grain qualit'!AI35:AR35)</f>
        <v>0.45268213032005683</v>
      </c>
      <c r="AX36" s="179">
        <f>AVERAGE('Lab descriptors of grain qualit'!AS35:BB35)</f>
        <v>2.0930000000000004</v>
      </c>
      <c r="AY36" s="180">
        <f>STDEV('Lab descriptors of grain qualit'!AS35:BB35)</f>
        <v>0.10414199707876895</v>
      </c>
      <c r="AZ36" s="179">
        <f>AVERAGE('Lab descriptors of grain qualit'!BC35:BL35)</f>
        <v>3.18595322125006</v>
      </c>
      <c r="BA36" s="180">
        <f>STDEV('Lab descriptors of grain qualit'!BC35:BL35)</f>
        <v>0.13512381046761154</v>
      </c>
      <c r="BB36" s="183" t="str">
        <f>IF(AND(AV36&lt;=5.2,AZ36&lt;2),"Round",IF(AND(AV36&gt;6,AZ36&lt;3),"Long A",IF(AND(AV36&gt;6,AZ36&gt;3),"Long B","Medium")))</f>
        <v>Long B</v>
      </c>
      <c r="BC36" s="166">
        <f>'Lab descriptors of grain qualit'!BM35</f>
        <v>20.17</v>
      </c>
      <c r="BD36" s="184">
        <f>'Lab descriptors of grain qualit'!BO35</f>
        <v>0.7302925136341101</v>
      </c>
      <c r="BE36" s="184">
        <f>'Lab descriptors of grain qualit'!BQ35</f>
        <v>0.6479920674268715</v>
      </c>
      <c r="BF36" s="159" t="s">
        <v>154</v>
      </c>
      <c r="BG36" s="386">
        <v>21.71</v>
      </c>
      <c r="BH36" s="185"/>
      <c r="BI36" s="186" t="str">
        <f t="shared" si="5"/>
        <v>Intermediate</v>
      </c>
      <c r="BJ36" s="186">
        <f>'Lab descriptors of grain qu (2)'!E35</f>
        <v>5</v>
      </c>
      <c r="BK36" s="187">
        <f>'Lab descriptors of grain qu (2)'!F35</f>
        <v>1</v>
      </c>
      <c r="BL36" s="186">
        <f>'Lab descriptors of grain qu (2)'!G35</f>
        <v>7</v>
      </c>
      <c r="BM36" s="188">
        <f>'Lab descriptors of grain qu (2)'!H35</f>
        <v>9</v>
      </c>
      <c r="BN36" s="189">
        <f>'Lab descriptors of grain qu (2)'!I35</f>
        <v>0</v>
      </c>
      <c r="BO36" s="190">
        <f>'Lab descriptors of grain qu (2)'!K35</f>
        <v>0</v>
      </c>
      <c r="BP36" s="173"/>
      <c r="BQ36" s="477" t="s">
        <v>154</v>
      </c>
      <c r="BR36" s="480">
        <v>0</v>
      </c>
      <c r="BS36" s="483"/>
    </row>
    <row r="37" spans="1:71" ht="21">
      <c r="A37" s="90">
        <v>669</v>
      </c>
      <c r="B37" s="159" t="s">
        <v>155</v>
      </c>
      <c r="C37" s="160"/>
      <c r="D37" s="161"/>
      <c r="E37" s="162"/>
      <c r="F37" s="162"/>
      <c r="G37" s="163">
        <f>'Agronomic traits'!I36</f>
        <v>70</v>
      </c>
      <c r="H37" s="163">
        <f>'Agronomic traits'!J36</f>
        <v>9</v>
      </c>
      <c r="I37" s="163">
        <f>'Agronomic traits'!K36</f>
        <v>8</v>
      </c>
      <c r="J37" s="159">
        <f>'Agronomic traits'!L36</f>
        <v>2</v>
      </c>
      <c r="K37" s="164" t="s">
        <v>155</v>
      </c>
      <c r="L37" s="165">
        <f>'Field plant descriptors'!C36</f>
        <v>2</v>
      </c>
      <c r="M37" s="162"/>
      <c r="N37" s="162">
        <f>'Field plant descriptors'!E36</f>
        <v>2</v>
      </c>
      <c r="O37" s="162">
        <f>'Field plant descriptors'!F36</f>
        <v>1</v>
      </c>
      <c r="P37" s="166">
        <f>AVERAGE('Field plant descriptors'!G36:L36)</f>
        <v>17.95</v>
      </c>
      <c r="Q37" s="167">
        <f>STDEV('Field plant descriptors'!G36:L36)</f>
        <v>0.07071067811865576</v>
      </c>
      <c r="R37" s="168">
        <f>'Field plant descriptors'!M36</f>
        <v>7</v>
      </c>
      <c r="S37" s="169" t="str">
        <f>'Diseases (blast)'!C40</f>
        <v>1-2</v>
      </c>
      <c r="T37" s="170">
        <f>'Diseases (blast)'!D40</f>
        <v>1</v>
      </c>
      <c r="U37" s="171"/>
      <c r="V37" s="171"/>
      <c r="W37" s="171"/>
      <c r="X37" s="172"/>
      <c r="Y37" s="159" t="s">
        <v>155</v>
      </c>
      <c r="Z37" s="173"/>
      <c r="AA37" s="174"/>
      <c r="AB37" s="175"/>
      <c r="AC37" s="176"/>
      <c r="AD37" s="177">
        <f>'Field grain descriptors'!C36</f>
        <v>0</v>
      </c>
      <c r="AE37" s="178" t="str">
        <f t="shared" si="2"/>
        <v>?</v>
      </c>
      <c r="AF37" s="177">
        <f>'Field grain descriptors'!D36</f>
        <v>1</v>
      </c>
      <c r="AG37" s="179"/>
      <c r="AH37" s="180"/>
      <c r="AI37" s="181"/>
      <c r="AJ37" s="169">
        <f>'Field grain descriptors'!I36</f>
        <v>7</v>
      </c>
      <c r="AK37" s="159" t="s">
        <v>155</v>
      </c>
      <c r="AL37" s="177"/>
      <c r="AM37" s="182"/>
      <c r="AN37" s="179"/>
      <c r="AO37" s="180"/>
      <c r="AP37" s="179"/>
      <c r="AQ37" s="182"/>
      <c r="AR37" s="383"/>
      <c r="AS37" s="180"/>
      <c r="AT37" s="384"/>
      <c r="AU37" s="159" t="s">
        <v>155</v>
      </c>
      <c r="AV37" s="179"/>
      <c r="AW37" s="180"/>
      <c r="AX37" s="179"/>
      <c r="AY37" s="180"/>
      <c r="AZ37" s="179"/>
      <c r="BA37" s="180"/>
      <c r="BB37" s="183"/>
      <c r="BC37" s="166"/>
      <c r="BD37" s="184"/>
      <c r="BE37" s="184"/>
      <c r="BF37" s="159" t="s">
        <v>155</v>
      </c>
      <c r="BG37" s="389"/>
      <c r="BH37" s="185"/>
      <c r="BI37" s="186" t="str">
        <f t="shared" si="5"/>
        <v>Low</v>
      </c>
      <c r="BJ37" s="186"/>
      <c r="BK37" s="187" t="str">
        <f>'Lab descriptors of grain qu (2)'!F36</f>
        <v>  </v>
      </c>
      <c r="BL37" s="186"/>
      <c r="BM37" s="188"/>
      <c r="BN37" s="189"/>
      <c r="BO37" s="190"/>
      <c r="BP37" s="173"/>
      <c r="BQ37" s="477" t="s">
        <v>155</v>
      </c>
      <c r="BR37" s="480">
        <v>0</v>
      </c>
      <c r="BS37" s="483"/>
    </row>
    <row r="38" spans="1:71" ht="21">
      <c r="A38" s="90">
        <v>670</v>
      </c>
      <c r="B38" s="159" t="s">
        <v>156</v>
      </c>
      <c r="C38" s="160"/>
      <c r="D38" s="161"/>
      <c r="E38" s="162">
        <f>'Agronomic traits'!F37</f>
        <v>92</v>
      </c>
      <c r="F38" s="162">
        <f>'Agronomic traits'!H37</f>
        <v>141</v>
      </c>
      <c r="G38" s="163">
        <f>'Agronomic traits'!I37</f>
        <v>75</v>
      </c>
      <c r="H38" s="163">
        <f>'Agronomic traits'!J37</f>
        <v>9</v>
      </c>
      <c r="I38" s="163">
        <f>'Agronomic traits'!K37</f>
        <v>5</v>
      </c>
      <c r="J38" s="159">
        <f>'Agronomic traits'!L37</f>
        <v>6</v>
      </c>
      <c r="K38" s="164" t="s">
        <v>156</v>
      </c>
      <c r="L38" s="165">
        <f>'Field plant descriptors'!C37</f>
        <v>7</v>
      </c>
      <c r="M38" s="162"/>
      <c r="N38" s="162">
        <f>'Field plant descriptors'!E37</f>
        <v>7</v>
      </c>
      <c r="O38" s="162">
        <f>'Field plant descriptors'!F37</f>
        <v>1</v>
      </c>
      <c r="P38" s="166">
        <f>AVERAGE('Field plant descriptors'!G37:L37)</f>
        <v>15.649999999999999</v>
      </c>
      <c r="Q38" s="167">
        <f>STDEV('Field plant descriptors'!G37:L37)</f>
        <v>1.2755391017134847</v>
      </c>
      <c r="R38" s="168">
        <f>'Field plant descriptors'!M37</f>
        <v>5</v>
      </c>
      <c r="S38" s="169" t="str">
        <f>'Diseases (blast)'!C41</f>
        <v>3-4</v>
      </c>
      <c r="T38" s="170">
        <f>'Diseases (blast)'!D41</f>
        <v>1</v>
      </c>
      <c r="U38" s="171"/>
      <c r="V38" s="171"/>
      <c r="W38" s="171"/>
      <c r="X38" s="172"/>
      <c r="Y38" s="159" t="s">
        <v>156</v>
      </c>
      <c r="Z38" s="173"/>
      <c r="AA38" s="174"/>
      <c r="AB38" s="175"/>
      <c r="AC38" s="176"/>
      <c r="AD38" s="177">
        <f>'Field grain descriptors'!C37</f>
        <v>9</v>
      </c>
      <c r="AE38" s="178" t="str">
        <f t="shared" si="2"/>
        <v>Present</v>
      </c>
      <c r="AF38" s="177">
        <f>'Field grain descriptors'!D37</f>
        <v>1</v>
      </c>
      <c r="AG38" s="179">
        <f>AVERAGE('Field grain descriptors'!E37:H37)</f>
        <v>2.11</v>
      </c>
      <c r="AH38" s="180">
        <f>STDEV('Field grain descriptors'!E37:H37)</f>
        <v>0.3297473780537661</v>
      </c>
      <c r="AI38" s="181" t="str">
        <f t="shared" si="3"/>
        <v>Medium</v>
      </c>
      <c r="AJ38" s="169">
        <f>'Field grain descriptors'!I37</f>
        <v>1</v>
      </c>
      <c r="AK38" s="159" t="s">
        <v>156</v>
      </c>
      <c r="AL38" s="177">
        <f>'Lab descriptors of grain qualit'!C37</f>
        <v>3</v>
      </c>
      <c r="AM38" s="182" t="str">
        <f t="shared" si="4"/>
        <v>Gold</v>
      </c>
      <c r="AN38" s="179">
        <f>AVERAGE('Lab descriptors of grain qualit'!D37:M37)</f>
        <v>8.553999999999998</v>
      </c>
      <c r="AO38" s="180">
        <f>STDEV('Lab descriptors of grain qualit'!D37:M37)</f>
        <v>0.394270071003228</v>
      </c>
      <c r="AP38" s="179">
        <f>AVERAGE('Lab descriptors of grain qualit'!N37:W37)</f>
        <v>2.572</v>
      </c>
      <c r="AQ38" s="182">
        <f>STDEV('Lab descriptors of grain qualit'!N37:W37)</f>
        <v>0.20552372125864687</v>
      </c>
      <c r="AR38" s="383">
        <f>AN38/AP38</f>
        <v>3.3258164852255048</v>
      </c>
      <c r="AS38" s="180">
        <f>AVERAGE('Lab descriptors of grain qualit'!X37:AG37)</f>
        <v>3.338664115046769</v>
      </c>
      <c r="AT38" s="384">
        <f>STDEV('Lab descriptors of grain qualit'!X37:AG37)</f>
        <v>0.21588930399126993</v>
      </c>
      <c r="AU38" s="159" t="s">
        <v>156</v>
      </c>
      <c r="AV38" s="179">
        <f>AVERAGE('Lab descriptors of grain qualit'!AI37:AR37)</f>
        <v>6.4799999999999995</v>
      </c>
      <c r="AW38" s="180">
        <f>STDEV('Lab descriptors of grain qualit'!AI37:AR37)</f>
        <v>0.3319638534539587</v>
      </c>
      <c r="AX38" s="179">
        <f>AVERAGE('Lab descriptors of grain qualit'!AS37:BB37)</f>
        <v>2.1239999999999997</v>
      </c>
      <c r="AY38" s="180">
        <f>STDEV('Lab descriptors of grain qualit'!AS37:BB37)</f>
        <v>0.10875047892615534</v>
      </c>
      <c r="AZ38" s="179">
        <f>AVERAGE('Lab descriptors of grain qualit'!BC37:BL37)</f>
        <v>3.051405354579909</v>
      </c>
      <c r="BA38" s="180">
        <f>STDEV('Lab descriptors of grain qualit'!BC37:BL37)</f>
        <v>0.06373142193759815</v>
      </c>
      <c r="BB38" s="183" t="str">
        <f>IF(AND(AV38&lt;=5.2,AZ38&lt;2),"Round",IF(AND(AV38&gt;6,AZ38&lt;3),"Long A",IF(AND(AV38&gt;6,AZ38&gt;3),"Long B","Medium")))</f>
        <v>Long B</v>
      </c>
      <c r="BC38" s="166">
        <f>'Lab descriptors of grain qualit'!BM37</f>
        <v>19.950000000000003</v>
      </c>
      <c r="BD38" s="184">
        <f>'Lab descriptors of grain qualit'!BO37</f>
        <v>0.6967418546365913</v>
      </c>
      <c r="BE38" s="184">
        <f>'Lab descriptors of grain qualit'!BQ37</f>
        <v>0.6416040100250626</v>
      </c>
      <c r="BF38" s="159" t="s">
        <v>156</v>
      </c>
      <c r="BG38" s="389"/>
      <c r="BH38" s="185"/>
      <c r="BI38" s="186" t="str">
        <f t="shared" si="5"/>
        <v>Intermediate</v>
      </c>
      <c r="BJ38" s="186">
        <f>'Lab descriptors of grain qu (2)'!E37</f>
        <v>5</v>
      </c>
      <c r="BK38" s="187">
        <f>'Lab descriptors of grain qu (2)'!F37</f>
        <v>0.04</v>
      </c>
      <c r="BL38" s="186">
        <f>'Lab descriptors of grain qu (2)'!G37</f>
        <v>1</v>
      </c>
      <c r="BM38" s="188">
        <f>'Lab descriptors of grain qu (2)'!H37</f>
        <v>0</v>
      </c>
      <c r="BN38" s="189">
        <f>'Lab descriptors of grain qu (2)'!I37</f>
        <v>5</v>
      </c>
      <c r="BO38" s="190">
        <f>'Lab descriptors of grain qu (2)'!K37</f>
        <v>0</v>
      </c>
      <c r="BP38" s="173"/>
      <c r="BQ38" s="477" t="s">
        <v>156</v>
      </c>
      <c r="BR38" s="480">
        <v>0</v>
      </c>
      <c r="BS38" s="483"/>
    </row>
    <row r="39" spans="1:71" ht="21">
      <c r="A39" s="90">
        <v>674</v>
      </c>
      <c r="B39" s="159" t="s">
        <v>157</v>
      </c>
      <c r="C39" s="160"/>
      <c r="D39" s="161"/>
      <c r="E39" s="162">
        <f>'Agronomic traits'!F38</f>
        <v>109</v>
      </c>
      <c r="F39" s="162">
        <f>'Agronomic traits'!H38</f>
        <v>147</v>
      </c>
      <c r="G39" s="163">
        <f>'Agronomic traits'!I38</f>
        <v>70</v>
      </c>
      <c r="H39" s="163">
        <f>'Agronomic traits'!J38</f>
        <v>9</v>
      </c>
      <c r="I39" s="163">
        <f>'Agronomic traits'!K38</f>
        <v>7</v>
      </c>
      <c r="J39" s="159">
        <f>'Agronomic traits'!L38</f>
        <v>2</v>
      </c>
      <c r="K39" s="164" t="s">
        <v>157</v>
      </c>
      <c r="L39" s="165">
        <f>'Field plant descriptors'!C38</f>
        <v>2</v>
      </c>
      <c r="M39" s="162"/>
      <c r="N39" s="162">
        <f>'Field plant descriptors'!E38</f>
        <v>2</v>
      </c>
      <c r="O39" s="162">
        <f>'Field plant descriptors'!F38</f>
        <v>1</v>
      </c>
      <c r="P39" s="166">
        <f>AVERAGE('Field plant descriptors'!G38:L38)</f>
        <v>17.900000000000002</v>
      </c>
      <c r="Q39" s="167">
        <f>STDEV('Field plant descriptors'!G38:L38)</f>
        <v>2.12884945451761</v>
      </c>
      <c r="R39" s="168">
        <f>'Field plant descriptors'!M38</f>
        <v>5</v>
      </c>
      <c r="S39" s="169">
        <f>'Diseases (blast)'!C42</f>
        <v>2</v>
      </c>
      <c r="T39" s="170">
        <f>'Diseases (blast)'!D42</f>
        <v>1</v>
      </c>
      <c r="U39" s="171"/>
      <c r="V39" s="171"/>
      <c r="W39" s="171"/>
      <c r="X39" s="172"/>
      <c r="Y39" s="159" t="s">
        <v>157</v>
      </c>
      <c r="Z39" s="173"/>
      <c r="AA39" s="174"/>
      <c r="AB39" s="175"/>
      <c r="AC39" s="176"/>
      <c r="AD39" s="177">
        <f>'Field grain descriptors'!C38</f>
        <v>1</v>
      </c>
      <c r="AE39" s="178" t="str">
        <f>IF(AD39=1,"Absent",IF(AD39=9,"Present","?"))</f>
        <v>Absent</v>
      </c>
      <c r="AF39" s="177">
        <f>'Field grain descriptors'!D38</f>
        <v>1</v>
      </c>
      <c r="AG39" s="179">
        <f>AVERAGE('Field grain descriptors'!E38:H38)</f>
        <v>2.0250000000000004</v>
      </c>
      <c r="AH39" s="180">
        <f>STDEV('Field grain descriptors'!E38:H38)</f>
        <v>0.2989425808858023</v>
      </c>
      <c r="AI39" s="181" t="str">
        <f t="shared" si="3"/>
        <v>Medium</v>
      </c>
      <c r="AJ39" s="169">
        <f>'Field grain descriptors'!I38</f>
        <v>5</v>
      </c>
      <c r="AK39" s="159" t="s">
        <v>157</v>
      </c>
      <c r="AL39" s="177">
        <f>'Lab descriptors of grain qualit'!C38</f>
        <v>1</v>
      </c>
      <c r="AM39" s="182" t="str">
        <f t="shared" si="4"/>
        <v>Straw</v>
      </c>
      <c r="AN39" s="179">
        <f>AVERAGE('Lab descriptors of grain qualit'!D38:M38)</f>
        <v>9.245999999999999</v>
      </c>
      <c r="AO39" s="180">
        <f>STDEV('Lab descriptors of grain qualit'!D38:M38)</f>
        <v>0.37253486041208483</v>
      </c>
      <c r="AP39" s="179">
        <f>AVERAGE('Lab descriptors of grain qualit'!N38:W38)</f>
        <v>2.3819999999999997</v>
      </c>
      <c r="AQ39" s="182">
        <f>STDEV('Lab descriptors of grain qualit'!N38:W38)</f>
        <v>0.10768266135064229</v>
      </c>
      <c r="AR39" s="383">
        <f>AN39/AP39</f>
        <v>3.881612090680101</v>
      </c>
      <c r="AS39" s="180">
        <f>AVERAGE('Lab descriptors of grain qualit'!X38:AG38)</f>
        <v>3.887986207896374</v>
      </c>
      <c r="AT39" s="384">
        <f>STDEV('Lab descriptors of grain qualit'!X38:AG38)</f>
        <v>0.21896783728690603</v>
      </c>
      <c r="AU39" s="159" t="s">
        <v>157</v>
      </c>
      <c r="AV39" s="179">
        <f>AVERAGE('Lab descriptors of grain qualit'!AI38:AR38)</f>
        <v>6.848999999999999</v>
      </c>
      <c r="AW39" s="180">
        <f>STDEV('Lab descriptors of grain qualit'!AI38:AR38)</f>
        <v>0.19376102119193478</v>
      </c>
      <c r="AX39" s="179">
        <f>AVERAGE('Lab descriptors of grain qualit'!AS38:BB38)</f>
        <v>2.0379999999999994</v>
      </c>
      <c r="AY39" s="180">
        <f>STDEV('Lab descriptors of grain qualit'!AS38:BB38)</f>
        <v>0.08482662055956905</v>
      </c>
      <c r="AZ39" s="179">
        <f>AVERAGE('Lab descriptors of grain qualit'!BC38:BL38)</f>
        <v>3.365337969990764</v>
      </c>
      <c r="BA39" s="180">
        <f>STDEV('Lab descriptors of grain qualit'!BC38:BL38)</f>
        <v>0.15599965341361643</v>
      </c>
      <c r="BB39" s="183" t="str">
        <f>IF(AND(AV39&lt;=5.2,AZ39&lt;2),"Round",IF(AND(AV39&gt;6,AZ39&lt;3),"Long A",IF(AND(AV39&gt;6,AZ39&gt;3),"Long B","Medium")))</f>
        <v>Long B</v>
      </c>
      <c r="BC39" s="166">
        <f>'Lab descriptors of grain qualit'!BM38</f>
        <v>20.5</v>
      </c>
      <c r="BD39" s="184">
        <f>'Lab descriptors of grain qualit'!BO38</f>
        <v>0.7073170731707317</v>
      </c>
      <c r="BE39" s="184">
        <f>'Lab descriptors of grain qualit'!BQ38</f>
        <v>0.6487804878048781</v>
      </c>
      <c r="BF39" s="159" t="s">
        <v>157</v>
      </c>
      <c r="BG39" s="389"/>
      <c r="BH39" s="185"/>
      <c r="BI39" s="186" t="str">
        <f t="shared" si="5"/>
        <v>Intermediate</v>
      </c>
      <c r="BJ39" s="186">
        <f>'Lab descriptors of grain qu (2)'!E38</f>
        <v>5</v>
      </c>
      <c r="BK39" s="187">
        <f>'Lab descriptors of grain qu (2)'!F38</f>
        <v>0.72</v>
      </c>
      <c r="BL39" s="186">
        <f>'Lab descriptors of grain qu (2)'!G38</f>
        <v>7</v>
      </c>
      <c r="BM39" s="188">
        <f>'Lab descriptors of grain qu (2)'!H38</f>
        <v>0</v>
      </c>
      <c r="BN39" s="189">
        <f>'Lab descriptors of grain qu (2)'!I38</f>
        <v>9</v>
      </c>
      <c r="BO39" s="190">
        <f>'Lab descriptors of grain qu (2)'!K38</f>
        <v>0</v>
      </c>
      <c r="BP39" s="173"/>
      <c r="BQ39" s="477" t="s">
        <v>157</v>
      </c>
      <c r="BR39" s="480">
        <v>10.5</v>
      </c>
      <c r="BS39" s="483" t="s">
        <v>408</v>
      </c>
    </row>
    <row r="40" spans="1:71" ht="21">
      <c r="A40" s="90">
        <v>696</v>
      </c>
      <c r="B40" s="159" t="s">
        <v>158</v>
      </c>
      <c r="C40" s="160"/>
      <c r="D40" s="161"/>
      <c r="E40" s="162">
        <f>'Agronomic traits'!F39</f>
        <v>101</v>
      </c>
      <c r="F40" s="162">
        <f>'Agronomic traits'!H39</f>
        <v>137</v>
      </c>
      <c r="G40" s="163">
        <f>'Agronomic traits'!I39</f>
        <v>70</v>
      </c>
      <c r="H40" s="163">
        <f>'Agronomic traits'!J39</f>
        <v>9</v>
      </c>
      <c r="I40" s="163">
        <f>'Agronomic traits'!K39</f>
        <v>3</v>
      </c>
      <c r="J40" s="159">
        <f>'Agronomic traits'!L39</f>
        <v>2</v>
      </c>
      <c r="K40" s="164" t="s">
        <v>158</v>
      </c>
      <c r="L40" s="165">
        <f>'Field plant descriptors'!C39</f>
        <v>4</v>
      </c>
      <c r="M40" s="162"/>
      <c r="N40" s="162">
        <f>'Field plant descriptors'!E39</f>
        <v>4</v>
      </c>
      <c r="O40" s="162">
        <f>'Field plant descriptors'!F39</f>
        <v>3</v>
      </c>
      <c r="P40" s="166">
        <f>AVERAGE('Field plant descriptors'!G39:L39)</f>
        <v>17.25</v>
      </c>
      <c r="Q40" s="167">
        <f>STDEV('Field plant descriptors'!G39:L39)</f>
        <v>1.0387492478938294</v>
      </c>
      <c r="R40" s="168">
        <f>'Field plant descriptors'!M39</f>
        <v>5</v>
      </c>
      <c r="S40" s="169" t="str">
        <f>'Diseases (blast)'!C43</f>
        <v>1-2</v>
      </c>
      <c r="T40" s="170">
        <f>'Diseases (blast)'!D43</f>
        <v>1</v>
      </c>
      <c r="U40" s="171"/>
      <c r="V40" s="171"/>
      <c r="W40" s="171"/>
      <c r="X40" s="172"/>
      <c r="Y40" s="159" t="s">
        <v>158</v>
      </c>
      <c r="Z40" s="173"/>
      <c r="AA40" s="174"/>
      <c r="AB40" s="175"/>
      <c r="AC40" s="176"/>
      <c r="AD40" s="177">
        <f>'Field grain descriptors'!C39</f>
        <v>1</v>
      </c>
      <c r="AE40" s="178" t="str">
        <f t="shared" si="2"/>
        <v>Absent</v>
      </c>
      <c r="AF40" s="177">
        <f>'Field grain descriptors'!D39</f>
        <v>1</v>
      </c>
      <c r="AG40" s="179">
        <f>AVERAGE('Field grain descriptors'!E39:H39)</f>
        <v>2.56</v>
      </c>
      <c r="AH40" s="180">
        <f>STDEV('Field grain descriptors'!E39:H39)</f>
        <v>0.2641968962724573</v>
      </c>
      <c r="AI40" s="181" t="str">
        <f t="shared" si="3"/>
        <v>Long</v>
      </c>
      <c r="AJ40" s="169">
        <f>'Field grain descriptors'!I39</f>
        <v>1</v>
      </c>
      <c r="AK40" s="159" t="s">
        <v>158</v>
      </c>
      <c r="AL40" s="177">
        <f>'Lab descriptors of grain qualit'!C39</f>
        <v>3</v>
      </c>
      <c r="AM40" s="182" t="str">
        <f t="shared" si="4"/>
        <v>Gold</v>
      </c>
      <c r="AN40" s="179">
        <f>AVERAGE('Lab descriptors of grain qualit'!D39:M39)</f>
        <v>7.234</v>
      </c>
      <c r="AO40" s="180">
        <f>STDEV('Lab descriptors of grain qualit'!D39:M39)</f>
        <v>0.3875908495652058</v>
      </c>
      <c r="AP40" s="179">
        <f>AVERAGE('Lab descriptors of grain qualit'!N39:W39)</f>
        <v>3.6029999999999993</v>
      </c>
      <c r="AQ40" s="182">
        <f>STDEV('Lab descriptors of grain qualit'!N39:W39)</f>
        <v>0.12410121317341849</v>
      </c>
      <c r="AR40" s="383">
        <f>AN40/AP40</f>
        <v>2.007771301693034</v>
      </c>
      <c r="AS40" s="180">
        <f>AVERAGE('Lab descriptors of grain qualit'!X39:AG39)</f>
        <v>2.0073270208906058</v>
      </c>
      <c r="AT40" s="384">
        <f>STDEV('Lab descriptors of grain qualit'!X39:AG39)</f>
        <v>0.06912236496011522</v>
      </c>
      <c r="AU40" s="159" t="s">
        <v>158</v>
      </c>
      <c r="AV40" s="179">
        <f>AVERAGE('Lab descriptors of grain qualit'!AI39:AR39)</f>
        <v>5.211</v>
      </c>
      <c r="AW40" s="180">
        <f>STDEV('Lab descriptors of grain qualit'!AI39:AR39)</f>
        <v>0.2102088908152382</v>
      </c>
      <c r="AX40" s="179">
        <f>AVERAGE('Lab descriptors of grain qualit'!AS39:BB39)</f>
        <v>3.2039999999999997</v>
      </c>
      <c r="AY40" s="180">
        <f>STDEV('Lab descriptors of grain qualit'!AS39:BB39)</f>
        <v>0.06363087999461244</v>
      </c>
      <c r="AZ40" s="179">
        <f>AVERAGE('Lab descriptors of grain qualit'!BC39:BL39)</f>
        <v>1.626858789201013</v>
      </c>
      <c r="BA40" s="180">
        <f>STDEV('Lab descriptors of grain qualit'!BC39:BL39)</f>
        <v>0.0698296704546131</v>
      </c>
      <c r="BB40" s="183" t="str">
        <f>IF(AND(AV40&lt;=5.2,AZ40&lt;2),"Round",IF(AND(AV40&gt;6,AZ40&lt;3),"Long A",IF(AND(AV40&gt;6,AZ40&gt;3),"Long B","Medium")))</f>
        <v>Medium</v>
      </c>
      <c r="BC40" s="166">
        <f>'Lab descriptors of grain qualit'!BM39</f>
        <v>30.15</v>
      </c>
      <c r="BD40" s="184">
        <f>'Lab descriptors of grain qualit'!BO39</f>
        <v>0.6696517412935324</v>
      </c>
      <c r="BE40" s="184">
        <f>'Lab descriptors of grain qualit'!BQ39</f>
        <v>0.6354892205638475</v>
      </c>
      <c r="BF40" s="159" t="s">
        <v>158</v>
      </c>
      <c r="BG40" s="386">
        <v>20.22</v>
      </c>
      <c r="BH40" s="185"/>
      <c r="BI40" s="186" t="str">
        <f t="shared" si="5"/>
        <v>High</v>
      </c>
      <c r="BJ40" s="186">
        <f>'Lab descriptors of grain qu (2)'!E39</f>
        <v>7</v>
      </c>
      <c r="BK40" s="187">
        <f>'Lab descriptors of grain qu (2)'!F39</f>
        <v>0.92</v>
      </c>
      <c r="BL40" s="186">
        <f>'Lab descriptors of grain qu (2)'!G39</f>
        <v>7</v>
      </c>
      <c r="BM40" s="188">
        <f>'Lab descriptors of grain qu (2)'!H39</f>
        <v>9</v>
      </c>
      <c r="BN40" s="189">
        <f>'Lab descriptors of grain qu (2)'!I39</f>
        <v>0</v>
      </c>
      <c r="BO40" s="190">
        <f>'Lab descriptors of grain qu (2)'!K39</f>
        <v>0</v>
      </c>
      <c r="BP40" s="173"/>
      <c r="BQ40" s="477" t="s">
        <v>158</v>
      </c>
      <c r="BR40" s="480">
        <v>0.5</v>
      </c>
      <c r="BS40" s="483"/>
    </row>
    <row r="41" spans="1:71" ht="21">
      <c r="A41" s="90">
        <v>826</v>
      </c>
      <c r="B41" s="159" t="s">
        <v>159</v>
      </c>
      <c r="C41" s="160"/>
      <c r="D41" s="161"/>
      <c r="E41" s="162">
        <f>'Agronomic traits'!F40</f>
        <v>92</v>
      </c>
      <c r="F41" s="162">
        <f>'Agronomic traits'!H40</f>
        <v>123</v>
      </c>
      <c r="G41" s="163">
        <f>'Agronomic traits'!I40</f>
        <v>71</v>
      </c>
      <c r="H41" s="163">
        <f>'Agronomic traits'!J40</f>
        <v>9</v>
      </c>
      <c r="I41" s="163">
        <f>'Agronomic traits'!K40</f>
        <v>1</v>
      </c>
      <c r="J41" s="159">
        <f>'Agronomic traits'!L40</f>
        <v>2</v>
      </c>
      <c r="K41" s="164" t="s">
        <v>159</v>
      </c>
      <c r="L41" s="165">
        <f>'Field plant descriptors'!C40</f>
        <v>2</v>
      </c>
      <c r="M41" s="162"/>
      <c r="N41" s="162">
        <f>'Field plant descriptors'!E40</f>
        <v>2</v>
      </c>
      <c r="O41" s="162">
        <f>'Field plant descriptors'!F40</f>
        <v>3</v>
      </c>
      <c r="P41" s="166">
        <f>AVERAGE('Field plant descriptors'!G40:L40)</f>
        <v>14.75</v>
      </c>
      <c r="Q41" s="167">
        <f>STDEV('Field plant descriptors'!G40:L40)</f>
        <v>1.19791485507109</v>
      </c>
      <c r="R41" s="168">
        <f>'Field plant descriptors'!M40</f>
        <v>1</v>
      </c>
      <c r="S41" s="169">
        <f>'Diseases (blast)'!C44</f>
        <v>5</v>
      </c>
      <c r="T41" s="170">
        <f>'Diseases (blast)'!D44</f>
        <v>1</v>
      </c>
      <c r="U41" s="171"/>
      <c r="V41" s="171"/>
      <c r="W41" s="171"/>
      <c r="X41" s="172"/>
      <c r="Y41" s="159" t="s">
        <v>159</v>
      </c>
      <c r="Z41" s="173"/>
      <c r="AA41" s="174"/>
      <c r="AB41" s="175"/>
      <c r="AC41" s="176"/>
      <c r="AD41" s="177">
        <f>'Field grain descriptors'!C40</f>
        <v>1</v>
      </c>
      <c r="AE41" s="178" t="str">
        <f t="shared" si="2"/>
        <v>Absent</v>
      </c>
      <c r="AF41" s="177">
        <f>'Field grain descriptors'!D40</f>
        <v>3</v>
      </c>
      <c r="AG41" s="179">
        <f>AVERAGE('Field grain descriptors'!E40:H40)</f>
        <v>2.8925</v>
      </c>
      <c r="AH41" s="180">
        <f>STDEV('Field grain descriptors'!E40:H40)</f>
        <v>0.3873306081372855</v>
      </c>
      <c r="AI41" s="181" t="str">
        <f t="shared" si="3"/>
        <v>Long</v>
      </c>
      <c r="AJ41" s="169">
        <f>'Field grain descriptors'!I40</f>
        <v>1</v>
      </c>
      <c r="AK41" s="159" t="s">
        <v>159</v>
      </c>
      <c r="AL41" s="177">
        <f>'Lab descriptors of grain qualit'!C40</f>
        <v>3</v>
      </c>
      <c r="AM41" s="182" t="str">
        <f t="shared" si="4"/>
        <v>Gold</v>
      </c>
      <c r="AN41" s="179">
        <f>AVERAGE('Lab descriptors of grain qualit'!D40:M40)</f>
        <v>8.168</v>
      </c>
      <c r="AO41" s="180">
        <f>STDEV('Lab descriptors of grain qualit'!D40:M40)</f>
        <v>0.3697686964696958</v>
      </c>
      <c r="AP41" s="179">
        <f>AVERAGE('Lab descriptors of grain qualit'!N40:W40)</f>
        <v>3.4450000000000003</v>
      </c>
      <c r="AQ41" s="182">
        <f>STDEV('Lab descriptors of grain qualit'!N40:W40)</f>
        <v>0.08947377020977325</v>
      </c>
      <c r="AR41" s="383">
        <f>AN41/AP41</f>
        <v>2.370972423802612</v>
      </c>
      <c r="AS41" s="180">
        <f>AVERAGE('Lab descriptors of grain qualit'!X40:AG40)</f>
        <v>2.3717267378091416</v>
      </c>
      <c r="AT41" s="384">
        <f>STDEV('Lab descriptors of grain qualit'!X40:AG40)</f>
        <v>0.10678958951575285</v>
      </c>
      <c r="AU41" s="159" t="s">
        <v>159</v>
      </c>
      <c r="AV41" s="179">
        <f>AVERAGE('Lab descriptors of grain qualit'!AI40:AR40)</f>
        <v>5.7909999999999995</v>
      </c>
      <c r="AW41" s="180">
        <f>STDEV('Lab descriptors of grain qualit'!AI40:AR40)</f>
        <v>0.15139719651010747</v>
      </c>
      <c r="AX41" s="179">
        <f>AVERAGE('Lab descriptors of grain qualit'!AS40:BB40)</f>
        <v>2.9579999999999997</v>
      </c>
      <c r="AY41" s="180">
        <f>STDEV('Lab descriptors of grain qualit'!AS40:BB40)</f>
        <v>0.08456424250894684</v>
      </c>
      <c r="AZ41" s="179">
        <f>AVERAGE('Lab descriptors of grain qualit'!BC40:BL40)</f>
        <v>1.959139602699708</v>
      </c>
      <c r="BA41" s="180">
        <f>STDEV('Lab descriptors of grain qualit'!BC40:BL40)</f>
        <v>0.07515449052897737</v>
      </c>
      <c r="BB41" s="183" t="str">
        <f>IF(AND(AV41&lt;=5.2,AZ41&lt;2),"Round",IF(AND(AV41&gt;6,AZ41&lt;3),"Long A",IF(AND(AV41&gt;6,AZ41&gt;3),"Long B","Medium")))</f>
        <v>Medium</v>
      </c>
      <c r="BC41" s="166">
        <f>'Lab descriptors of grain qualit'!BM40</f>
        <v>29.1</v>
      </c>
      <c r="BD41" s="184">
        <f>'Lab descriptors of grain qualit'!BO40</f>
        <v>0.6917525773195876</v>
      </c>
      <c r="BE41" s="184">
        <f>'Lab descriptors of grain qualit'!BQ40</f>
        <v>0.5484536082474227</v>
      </c>
      <c r="BF41" s="159" t="s">
        <v>159</v>
      </c>
      <c r="BG41" s="387">
        <v>18.69</v>
      </c>
      <c r="BH41" s="185"/>
      <c r="BI41" s="186" t="str">
        <f t="shared" si="5"/>
        <v>High</v>
      </c>
      <c r="BJ41" s="186">
        <f>'Lab descriptors of grain qu (2)'!E40</f>
        <v>6</v>
      </c>
      <c r="BK41" s="187">
        <f>'Lab descriptors of grain qu (2)'!F40</f>
        <v>1</v>
      </c>
      <c r="BL41" s="186">
        <f>'Lab descriptors of grain qu (2)'!G40</f>
        <v>7</v>
      </c>
      <c r="BM41" s="188">
        <f>'Lab descriptors of grain qu (2)'!H40</f>
        <v>9</v>
      </c>
      <c r="BN41" s="189">
        <f>'Lab descriptors of grain qu (2)'!I40</f>
        <v>0</v>
      </c>
      <c r="BO41" s="190">
        <f>'Lab descriptors of grain qu (2)'!K40</f>
        <v>0</v>
      </c>
      <c r="BP41" s="173"/>
      <c r="BQ41" s="477" t="s">
        <v>159</v>
      </c>
      <c r="BR41" s="480">
        <v>0</v>
      </c>
      <c r="BS41" s="483"/>
    </row>
    <row r="42" spans="1:71" ht="21">
      <c r="A42" s="90">
        <v>1262</v>
      </c>
      <c r="B42" s="130" t="s">
        <v>160</v>
      </c>
      <c r="C42" s="127"/>
      <c r="D42" s="93"/>
      <c r="E42" s="128">
        <f>'Agronomic traits'!F41</f>
        <v>91</v>
      </c>
      <c r="F42" s="128">
        <f>'Agronomic traits'!H41</f>
        <v>123</v>
      </c>
      <c r="G42" s="129">
        <f>'Agronomic traits'!I41</f>
        <v>95</v>
      </c>
      <c r="H42" s="129">
        <f>'Agronomic traits'!J41</f>
        <v>9</v>
      </c>
      <c r="I42" s="129">
        <f>'Agronomic traits'!K41</f>
        <v>1</v>
      </c>
      <c r="J42" s="130">
        <f>'Agronomic traits'!L41</f>
        <v>3</v>
      </c>
      <c r="K42" s="191" t="s">
        <v>160</v>
      </c>
      <c r="L42" s="132">
        <f>'Field plant descriptors'!C41</f>
        <v>2</v>
      </c>
      <c r="M42" s="128"/>
      <c r="N42" s="128">
        <f>'Field plant descriptors'!E41</f>
        <v>6</v>
      </c>
      <c r="O42" s="128">
        <f>'Field plant descriptors'!F41</f>
        <v>3</v>
      </c>
      <c r="P42" s="133">
        <f>AVERAGE('Field plant descriptors'!G41:L41)</f>
        <v>21.316666666666663</v>
      </c>
      <c r="Q42" s="134">
        <f>STDEV('Field plant descriptors'!G41:L41)</f>
        <v>0.938971068067027</v>
      </c>
      <c r="R42" s="135">
        <f>'Field plant descriptors'!M41</f>
        <v>5</v>
      </c>
      <c r="S42" s="136">
        <f>'Diseases (blast)'!C45</f>
        <v>5</v>
      </c>
      <c r="T42" s="137">
        <f>'Diseases (blast)'!D45</f>
        <v>1</v>
      </c>
      <c r="U42" s="138"/>
      <c r="V42" s="138"/>
      <c r="W42" s="138"/>
      <c r="X42" s="139"/>
      <c r="Y42" s="130" t="s">
        <v>160</v>
      </c>
      <c r="Z42" s="140"/>
      <c r="AA42" s="141"/>
      <c r="AB42" s="142"/>
      <c r="AC42" s="143"/>
      <c r="AD42" s="144">
        <f>'Field grain descriptors'!C41</f>
        <v>1</v>
      </c>
      <c r="AE42" s="145" t="str">
        <f t="shared" si="2"/>
        <v>Absent</v>
      </c>
      <c r="AF42" s="144">
        <f>'Field grain descriptors'!D41</f>
        <v>7</v>
      </c>
      <c r="AG42" s="146">
        <f>AVERAGE('Field grain descriptors'!E41:H41)</f>
        <v>3.84</v>
      </c>
      <c r="AH42" s="147">
        <f>STDEV('Field grain descriptors'!E41:H41)</f>
        <v>0.28401877872187986</v>
      </c>
      <c r="AI42" s="148" t="str">
        <f t="shared" si="3"/>
        <v>Long</v>
      </c>
      <c r="AJ42" s="136">
        <f>'Field grain descriptors'!I41</f>
        <v>1</v>
      </c>
      <c r="AK42" s="130" t="s">
        <v>160</v>
      </c>
      <c r="AL42" s="144">
        <f>'Lab descriptors of grain qualit'!C41</f>
        <v>3</v>
      </c>
      <c r="AM42" s="149" t="str">
        <f t="shared" si="4"/>
        <v>Gold</v>
      </c>
      <c r="AN42" s="146">
        <f>AVERAGE('Lab descriptors of grain qualit'!D41:M41)</f>
        <v>12.062999999999999</v>
      </c>
      <c r="AO42" s="147">
        <f>STDEV('Lab descriptors of grain qualit'!D41:M41)</f>
        <v>0.6344735350404258</v>
      </c>
      <c r="AP42" s="146">
        <f>AVERAGE('Lab descriptors of grain qualit'!N41:W41)</f>
        <v>3.3850000000000002</v>
      </c>
      <c r="AQ42" s="149">
        <f>STDEV('Lab descriptors of grain qualit'!N41:W41)</f>
        <v>0.14323640133243234</v>
      </c>
      <c r="AR42" s="382">
        <f>AN42/AP42</f>
        <v>3.5636632200886256</v>
      </c>
      <c r="AS42" s="147">
        <f>AVERAGE('Lab descriptors of grain qualit'!X41:AG41)</f>
        <v>3.5643502998324204</v>
      </c>
      <c r="AT42" s="381">
        <f>STDEV('Lab descriptors of grain qualit'!X41:AG41)</f>
        <v>0.13608444675460352</v>
      </c>
      <c r="AU42" s="130" t="s">
        <v>160</v>
      </c>
      <c r="AV42" s="146">
        <f>AVERAGE('Lab descriptors of grain qualit'!AI41:AR41)</f>
        <v>8.388000000000002</v>
      </c>
      <c r="AW42" s="147">
        <f>STDEV('Lab descriptors of grain qualit'!AI41:AR41)</f>
        <v>0.3828199460726674</v>
      </c>
      <c r="AX42" s="146">
        <f>AVERAGE('Lab descriptors of grain qualit'!AS41:BB41)</f>
        <v>2.6270000000000002</v>
      </c>
      <c r="AY42" s="147">
        <f>STDEV('Lab descriptors of grain qualit'!AS41:BB41)</f>
        <v>0.1158591098417851</v>
      </c>
      <c r="AZ42" s="146">
        <f>AVERAGE('Lab descriptors of grain qualit'!BC41:BL41)</f>
        <v>3.19631757627129</v>
      </c>
      <c r="BA42" s="147">
        <f>STDEV('Lab descriptors of grain qualit'!BC41:BL41)</f>
        <v>0.1619029635190398</v>
      </c>
      <c r="BB42" s="151" t="str">
        <f>IF(AND(AV42&lt;=5.2,AZ42&lt;2),"Round",IF(AND(AV42&gt;6,AZ42&lt;3),"Long A",IF(AND(AV42&gt;6,AZ42&gt;3),"Long B","Medium")))</f>
        <v>Long B</v>
      </c>
      <c r="BC42" s="133">
        <f>'Lab descriptors of grain qualit'!BM41</f>
        <v>37.99</v>
      </c>
      <c r="BD42" s="152">
        <f>'Lab descriptors of grain qualit'!BO41</f>
        <v>0.67254540668597</v>
      </c>
      <c r="BE42" s="152">
        <f>'Lab descriptors of grain qualit'!BQ41</f>
        <v>0.6106870229007633</v>
      </c>
      <c r="BF42" s="130" t="s">
        <v>160</v>
      </c>
      <c r="BG42" s="387">
        <v>19.15</v>
      </c>
      <c r="BH42" s="153"/>
      <c r="BI42" s="154" t="str">
        <f t="shared" si="5"/>
        <v>High</v>
      </c>
      <c r="BJ42" s="154">
        <f>'Lab descriptors of grain qu (2)'!E41</f>
        <v>6</v>
      </c>
      <c r="BK42" s="155">
        <f>'Lab descriptors of grain qu (2)'!F41</f>
        <v>0.47</v>
      </c>
      <c r="BL42" s="154">
        <f>'Lab descriptors of grain qu (2)'!G41</f>
        <v>3</v>
      </c>
      <c r="BM42" s="156">
        <f>'Lab descriptors of grain qu (2)'!H41</f>
        <v>1</v>
      </c>
      <c r="BN42" s="157">
        <f>'Lab descriptors of grain qu (2)'!I41</f>
        <v>0</v>
      </c>
      <c r="BO42" s="158">
        <f>'Lab descriptors of grain qu (2)'!K41</f>
        <v>0</v>
      </c>
      <c r="BP42" s="140"/>
      <c r="BQ42" s="478" t="s">
        <v>160</v>
      </c>
      <c r="BR42" s="480">
        <v>0</v>
      </c>
      <c r="BS42" s="483"/>
    </row>
    <row r="43" spans="1:71" ht="21">
      <c r="A43" s="90">
        <v>1306</v>
      </c>
      <c r="B43" s="159" t="s">
        <v>161</v>
      </c>
      <c r="C43" s="160"/>
      <c r="D43" s="161"/>
      <c r="E43" s="162"/>
      <c r="F43" s="162"/>
      <c r="G43" s="163">
        <f>'Agronomic traits'!I42</f>
        <v>44</v>
      </c>
      <c r="H43" s="163">
        <f>'Agronomic traits'!J42</f>
        <v>9</v>
      </c>
      <c r="I43" s="163">
        <f>'Agronomic traits'!K42</f>
        <v>1</v>
      </c>
      <c r="J43" s="159">
        <f>'Agronomic traits'!L42</f>
        <v>2</v>
      </c>
      <c r="K43" s="164" t="s">
        <v>161</v>
      </c>
      <c r="L43" s="165">
        <f>'Field plant descriptors'!C42</f>
        <v>2</v>
      </c>
      <c r="M43" s="162"/>
      <c r="N43" s="162">
        <f>'Field plant descriptors'!E42</f>
        <v>2</v>
      </c>
      <c r="O43" s="162">
        <f>'Field plant descriptors'!F42</f>
        <v>1</v>
      </c>
      <c r="P43" s="166">
        <f>AVERAGE('Field plant descriptors'!G42:L42)</f>
        <v>18.916666666666668</v>
      </c>
      <c r="Q43" s="167">
        <f>STDEV('Field plant descriptors'!G42:L42)</f>
        <v>1.156575404660976</v>
      </c>
      <c r="R43" s="168">
        <f>'Field plant descriptors'!M42</f>
        <v>5</v>
      </c>
      <c r="S43" s="169" t="str">
        <f>'Diseases (blast)'!C46</f>
        <v>N/A</v>
      </c>
      <c r="T43" s="170" t="str">
        <f>'Diseases (blast)'!D46</f>
        <v>N/A</v>
      </c>
      <c r="U43" s="171"/>
      <c r="V43" s="171"/>
      <c r="W43" s="171"/>
      <c r="X43" s="172"/>
      <c r="Y43" s="159" t="s">
        <v>161</v>
      </c>
      <c r="Z43" s="173"/>
      <c r="AA43" s="174"/>
      <c r="AB43" s="175"/>
      <c r="AC43" s="176"/>
      <c r="AD43" s="177">
        <f>'Field grain descriptors'!C42</f>
        <v>1</v>
      </c>
      <c r="AE43" s="178" t="str">
        <f t="shared" si="2"/>
        <v>Absent</v>
      </c>
      <c r="AF43" s="177">
        <f>'Field grain descriptors'!D42</f>
        <v>1</v>
      </c>
      <c r="AG43" s="179"/>
      <c r="AH43" s="180"/>
      <c r="AI43" s="181"/>
      <c r="AJ43" s="169">
        <f>'Field grain descriptors'!I42</f>
        <v>1</v>
      </c>
      <c r="AK43" s="159" t="s">
        <v>161</v>
      </c>
      <c r="AL43" s="177"/>
      <c r="AM43" s="182"/>
      <c r="AN43" s="179"/>
      <c r="AO43" s="180"/>
      <c r="AP43" s="179"/>
      <c r="AQ43" s="182"/>
      <c r="AR43" s="383"/>
      <c r="AS43" s="180"/>
      <c r="AT43" s="384"/>
      <c r="AU43" s="159" t="s">
        <v>161</v>
      </c>
      <c r="AV43" s="179"/>
      <c r="AW43" s="180"/>
      <c r="AX43" s="179"/>
      <c r="AY43" s="180"/>
      <c r="AZ43" s="179"/>
      <c r="BA43" s="180"/>
      <c r="BB43" s="183"/>
      <c r="BC43" s="166"/>
      <c r="BD43" s="184"/>
      <c r="BE43" s="184"/>
      <c r="BF43" s="159" t="s">
        <v>161</v>
      </c>
      <c r="BG43" s="389"/>
      <c r="BH43" s="185"/>
      <c r="BI43" s="186"/>
      <c r="BJ43" s="186"/>
      <c r="BK43" s="187"/>
      <c r="BL43" s="186"/>
      <c r="BM43" s="188"/>
      <c r="BN43" s="189"/>
      <c r="BO43" s="190"/>
      <c r="BP43" s="173"/>
      <c r="BQ43" s="477" t="s">
        <v>161</v>
      </c>
      <c r="BR43" s="480">
        <v>0</v>
      </c>
      <c r="BS43" s="483"/>
    </row>
    <row r="44" spans="1:71" ht="21">
      <c r="A44" s="90">
        <v>74</v>
      </c>
      <c r="B44" s="130" t="s">
        <v>162</v>
      </c>
      <c r="C44" s="127"/>
      <c r="D44" s="93"/>
      <c r="E44" s="128">
        <f>'Agronomic traits'!F43</f>
        <v>85</v>
      </c>
      <c r="F44" s="128">
        <f>'Agronomic traits'!H43</f>
        <v>121</v>
      </c>
      <c r="G44" s="129">
        <f>'Agronomic traits'!I43</f>
        <v>65</v>
      </c>
      <c r="H44" s="129">
        <f>'Agronomic traits'!J43</f>
        <v>9</v>
      </c>
      <c r="I44" s="129">
        <f>'Agronomic traits'!K43</f>
        <v>7</v>
      </c>
      <c r="J44" s="130">
        <f>'Agronomic traits'!L43</f>
        <v>2</v>
      </c>
      <c r="K44" s="191" t="s">
        <v>162</v>
      </c>
      <c r="L44" s="132">
        <f>'Field plant descriptors'!C43</f>
        <v>2</v>
      </c>
      <c r="M44" s="128"/>
      <c r="N44" s="128">
        <f>'Field plant descriptors'!E43</f>
        <v>2</v>
      </c>
      <c r="O44" s="128">
        <f>'Field plant descriptors'!F43</f>
        <v>1</v>
      </c>
      <c r="P44" s="133">
        <f>AVERAGE('Field plant descriptors'!G43:L43)</f>
        <v>12.366666666666665</v>
      </c>
      <c r="Q44" s="134">
        <f>STDEV('Field plant descriptors'!G43:L43)</f>
        <v>0.5537749241945739</v>
      </c>
      <c r="R44" s="135">
        <f>'Field plant descriptors'!M43</f>
        <v>5</v>
      </c>
      <c r="S44" s="136">
        <f>'Diseases (blast)'!C47</f>
        <v>5</v>
      </c>
      <c r="T44" s="137">
        <f>'Diseases (blast)'!D47</f>
        <v>1</v>
      </c>
      <c r="U44" s="138"/>
      <c r="V44" s="138"/>
      <c r="W44" s="138"/>
      <c r="X44" s="139"/>
      <c r="Y44" s="130" t="s">
        <v>162</v>
      </c>
      <c r="Z44" s="140"/>
      <c r="AA44" s="141"/>
      <c r="AB44" s="142"/>
      <c r="AC44" s="143"/>
      <c r="AD44" s="144">
        <f>'Field grain descriptors'!C43</f>
        <v>9</v>
      </c>
      <c r="AE44" s="145" t="str">
        <f t="shared" si="2"/>
        <v>Present</v>
      </c>
      <c r="AF44" s="144">
        <f>'Field grain descriptors'!D43</f>
        <v>7</v>
      </c>
      <c r="AG44" s="146">
        <f>AVERAGE('Field grain descriptors'!E43:H43)</f>
        <v>2.3125</v>
      </c>
      <c r="AH44" s="147">
        <f>STDEV('Field grain descriptors'!E43:H43)</f>
        <v>0.5853987245174573</v>
      </c>
      <c r="AI44" s="148" t="str">
        <f t="shared" si="3"/>
        <v>Medium</v>
      </c>
      <c r="AJ44" s="136">
        <f>'Field grain descriptors'!I43</f>
        <v>1</v>
      </c>
      <c r="AK44" s="130" t="s">
        <v>162</v>
      </c>
      <c r="AL44" s="144">
        <f>'Lab descriptors of grain qualit'!C43</f>
        <v>3</v>
      </c>
      <c r="AM44" s="149" t="str">
        <f t="shared" si="4"/>
        <v>Gold</v>
      </c>
      <c r="AN44" s="146">
        <f>AVERAGE('Lab descriptors of grain qualit'!D43:M43)</f>
        <v>8.271</v>
      </c>
      <c r="AO44" s="147">
        <f>STDEV('Lab descriptors of grain qualit'!D43:M43)</f>
        <v>0.1902308539058954</v>
      </c>
      <c r="AP44" s="146">
        <f>AVERAGE('Lab descriptors of grain qualit'!N43:W43)</f>
        <v>3.4270000000000005</v>
      </c>
      <c r="AQ44" s="149">
        <f>STDEV('Lab descriptors of grain qualit'!N43:W43)</f>
        <v>0.10392839415246431</v>
      </c>
      <c r="AR44" s="382">
        <f aca="true" t="shared" si="8" ref="AR44:AR75">AN44/AP44</f>
        <v>2.41348117887365</v>
      </c>
      <c r="AS44" s="147">
        <f>AVERAGE('Lab descriptors of grain qualit'!X43:AG43)</f>
        <v>2.4148212389484556</v>
      </c>
      <c r="AT44" s="381">
        <f>STDEV('Lab descriptors of grain qualit'!X43:AG43)</f>
        <v>0.07038214410364745</v>
      </c>
      <c r="AU44" s="130" t="s">
        <v>162</v>
      </c>
      <c r="AV44" s="146">
        <f>AVERAGE('Lab descriptors of grain qualit'!AI43:AR43)</f>
        <v>6.156000000000001</v>
      </c>
      <c r="AW44" s="147">
        <f>STDEV('Lab descriptors of grain qualit'!AI43:AR43)</f>
        <v>0.22858015856345465</v>
      </c>
      <c r="AX44" s="146">
        <f>AVERAGE('Lab descriptors of grain qualit'!AS43:BB43)</f>
        <v>2.9250000000000003</v>
      </c>
      <c r="AY44" s="147">
        <f>STDEV('Lab descriptors of grain qualit'!AS43:BB43)</f>
        <v>0.2053317099502865</v>
      </c>
      <c r="AZ44" s="146">
        <f>AVERAGE('Lab descriptors of grain qualit'!BC43:BL43)</f>
        <v>2.114655013450493</v>
      </c>
      <c r="BA44" s="147">
        <f>STDEV('Lab descriptors of grain qualit'!BC43:BL43)</f>
        <v>0.182429762938569</v>
      </c>
      <c r="BB44" s="151" t="str">
        <f aca="true" t="shared" si="9" ref="BB44:BB54">IF(AND(AV44&lt;=5.2,AZ44&lt;2),"Round",IF(AND(AV44&gt;6,AZ44&lt;3),"Long A",IF(AND(AV44&gt;6,AZ44&gt;3),"Long B","Medium")))</f>
        <v>Long A</v>
      </c>
      <c r="BC44" s="133">
        <f>'Lab descriptors of grain qualit'!BM43</f>
        <v>30.56</v>
      </c>
      <c r="BD44" s="152">
        <f>'Lab descriptors of grain qualit'!BO43</f>
        <v>0.6861910994764397</v>
      </c>
      <c r="BE44" s="152">
        <f>'Lab descriptors of grain qualit'!BQ43</f>
        <v>0.43651832460732987</v>
      </c>
      <c r="BF44" s="130" t="s">
        <v>162</v>
      </c>
      <c r="BG44" s="386">
        <v>19.31</v>
      </c>
      <c r="BH44" s="153"/>
      <c r="BI44" s="154" t="str">
        <f t="shared" si="5"/>
        <v>High</v>
      </c>
      <c r="BJ44" s="154">
        <f>'Lab descriptors of grain qu (2)'!E43</f>
        <v>7</v>
      </c>
      <c r="BK44" s="155">
        <f>'Lab descriptors of grain qu (2)'!F43</f>
        <v>0.84</v>
      </c>
      <c r="BL44" s="154">
        <f>'Lab descriptors of grain qu (2)'!G43</f>
        <v>7</v>
      </c>
      <c r="BM44" s="156">
        <f>'Lab descriptors of grain qu (2)'!H43</f>
        <v>9</v>
      </c>
      <c r="BN44" s="157">
        <f>'Lab descriptors of grain qu (2)'!I43</f>
        <v>0</v>
      </c>
      <c r="BO44" s="158">
        <f>'Lab descriptors of grain qu (2)'!K43</f>
        <v>0</v>
      </c>
      <c r="BP44" s="140"/>
      <c r="BQ44" s="478" t="s">
        <v>162</v>
      </c>
      <c r="BR44" s="480">
        <v>3.5</v>
      </c>
      <c r="BS44" s="483"/>
    </row>
    <row r="45" spans="1:71" ht="21">
      <c r="A45" s="90">
        <v>1395</v>
      </c>
      <c r="B45" s="159" t="s">
        <v>163</v>
      </c>
      <c r="C45" s="160"/>
      <c r="D45" s="161"/>
      <c r="E45" s="162">
        <f>'Agronomic traits'!F44</f>
        <v>100</v>
      </c>
      <c r="F45" s="162">
        <f>'Agronomic traits'!H44</f>
        <v>150</v>
      </c>
      <c r="G45" s="163">
        <f>'Agronomic traits'!I44</f>
        <v>88</v>
      </c>
      <c r="H45" s="163">
        <f>'Agronomic traits'!J44</f>
        <v>9</v>
      </c>
      <c r="I45" s="163">
        <f>'Agronomic traits'!K44</f>
        <v>1</v>
      </c>
      <c r="J45" s="159">
        <f>'Agronomic traits'!L44</f>
        <v>2</v>
      </c>
      <c r="K45" s="164" t="s">
        <v>163</v>
      </c>
      <c r="L45" s="165">
        <f>'Field plant descriptors'!C44</f>
        <v>2</v>
      </c>
      <c r="M45" s="162"/>
      <c r="N45" s="162">
        <f>'Field plant descriptors'!E44</f>
        <v>6</v>
      </c>
      <c r="O45" s="162">
        <f>'Field plant descriptors'!F44</f>
        <v>3</v>
      </c>
      <c r="P45" s="166">
        <f>AVERAGE('Field plant descriptors'!G44:L44)</f>
        <v>16.25</v>
      </c>
      <c r="Q45" s="167">
        <f>STDEV('Field plant descriptors'!G44:L44)</f>
        <v>0.49295030175472515</v>
      </c>
      <c r="R45" s="168">
        <f>'Field plant descriptors'!M44</f>
        <v>5</v>
      </c>
      <c r="S45" s="169">
        <f>'Diseases (blast)'!C48</f>
        <v>4</v>
      </c>
      <c r="T45" s="170">
        <f>'Diseases (blast)'!D48</f>
        <v>1</v>
      </c>
      <c r="U45" s="171"/>
      <c r="V45" s="171"/>
      <c r="W45" s="171"/>
      <c r="X45" s="172"/>
      <c r="Y45" s="159" t="s">
        <v>163</v>
      </c>
      <c r="Z45" s="173"/>
      <c r="AA45" s="174"/>
      <c r="AB45" s="175"/>
      <c r="AC45" s="176"/>
      <c r="AD45" s="177">
        <f>'Field grain descriptors'!C44</f>
        <v>1</v>
      </c>
      <c r="AE45" s="178" t="str">
        <f t="shared" si="2"/>
        <v>Absent</v>
      </c>
      <c r="AF45" s="177">
        <f>'Field grain descriptors'!D44</f>
        <v>9</v>
      </c>
      <c r="AG45" s="179">
        <f>AVERAGE('Field grain descriptors'!E44:H44)</f>
        <v>3.0900000000000003</v>
      </c>
      <c r="AH45" s="180">
        <f>STDEV('Field grain descriptors'!E44:H44)</f>
        <v>0.19043809142780505</v>
      </c>
      <c r="AI45" s="181" t="str">
        <f t="shared" si="3"/>
        <v>Long</v>
      </c>
      <c r="AJ45" s="169">
        <f>'Field grain descriptors'!I44</f>
        <v>3</v>
      </c>
      <c r="AK45" s="159" t="s">
        <v>163</v>
      </c>
      <c r="AL45" s="177">
        <f>'Lab descriptors of grain qualit'!C44</f>
        <v>1</v>
      </c>
      <c r="AM45" s="182" t="str">
        <f t="shared" si="4"/>
        <v>Straw</v>
      </c>
      <c r="AN45" s="179">
        <f>AVERAGE('Lab descriptors of grain qualit'!D44:M44)</f>
        <v>8.983</v>
      </c>
      <c r="AO45" s="180">
        <f>STDEV('Lab descriptors of grain qualit'!D44:M44)</f>
        <v>0.35128494290405576</v>
      </c>
      <c r="AP45" s="179">
        <f>AVERAGE('Lab descriptors of grain qualit'!N44:W44)</f>
        <v>3.625</v>
      </c>
      <c r="AQ45" s="182">
        <f>STDEV('Lab descriptors of grain qualit'!N44:W44)</f>
        <v>0.1640629960310005</v>
      </c>
      <c r="AR45" s="383">
        <f t="shared" si="8"/>
        <v>2.4780689655172417</v>
      </c>
      <c r="AS45" s="180">
        <f>AVERAGE('Lab descriptors of grain qualit'!X44:AG44)</f>
        <v>2.4810169963120896</v>
      </c>
      <c r="AT45" s="384">
        <f>STDEV('Lab descriptors of grain qualit'!X44:AG44)</f>
        <v>0.11165812129402244</v>
      </c>
      <c r="AU45" s="159" t="s">
        <v>163</v>
      </c>
      <c r="AV45" s="192">
        <f>AVERAGE('Lab descriptors of grain qualit'!AI44:AR44)</f>
        <v>6.604000000000001</v>
      </c>
      <c r="AW45" s="193">
        <f>STDEV('Lab descriptors of grain qualit'!AI44:AR44)</f>
        <v>0.12712198865656904</v>
      </c>
      <c r="AX45" s="179">
        <f>AVERAGE('Lab descriptors of grain qualit'!AS44:BB44)</f>
        <v>3.145</v>
      </c>
      <c r="AY45" s="180">
        <f>STDEV('Lab descriptors of grain qualit'!AS44:BB44)</f>
        <v>0.13574895129531736</v>
      </c>
      <c r="AZ45" s="179">
        <f>AVERAGE('Lab descriptors of grain qualit'!BC44:BL44)</f>
        <v>2.103702979448559</v>
      </c>
      <c r="BA45" s="180">
        <f>STDEV('Lab descriptors of grain qualit'!BC44:BL44)</f>
        <v>0.10670754697842515</v>
      </c>
      <c r="BB45" s="183" t="str">
        <f t="shared" si="9"/>
        <v>Long A</v>
      </c>
      <c r="BC45" s="166">
        <f>'Lab descriptors of grain qualit'!BM44</f>
        <v>36.25</v>
      </c>
      <c r="BD45" s="184">
        <f>'Lab descriptors of grain qualit'!BO44</f>
        <v>0.6623448275862069</v>
      </c>
      <c r="BE45" s="184">
        <f>'Lab descriptors of grain qualit'!BQ44</f>
        <v>0.5773793103448276</v>
      </c>
      <c r="BF45" s="159" t="s">
        <v>163</v>
      </c>
      <c r="BG45" s="386">
        <v>18.83</v>
      </c>
      <c r="BH45" s="185"/>
      <c r="BI45" s="186" t="str">
        <f t="shared" si="5"/>
        <v>High</v>
      </c>
      <c r="BJ45" s="186">
        <f>'Lab descriptors of grain qu (2)'!E44</f>
        <v>6</v>
      </c>
      <c r="BK45" s="187">
        <f>'Lab descriptors of grain qu (2)'!F44</f>
        <v>0.98</v>
      </c>
      <c r="BL45" s="186">
        <f>'Lab descriptors of grain qu (2)'!G44</f>
        <v>9</v>
      </c>
      <c r="BM45" s="188">
        <f>'Lab descriptors of grain qu (2)'!H44</f>
        <v>9</v>
      </c>
      <c r="BN45" s="189">
        <f>'Lab descriptors of grain qu (2)'!I44</f>
        <v>9</v>
      </c>
      <c r="BO45" s="190">
        <f>'Lab descriptors of grain qu (2)'!K44</f>
        <v>0</v>
      </c>
      <c r="BP45" s="173"/>
      <c r="BQ45" s="477" t="s">
        <v>163</v>
      </c>
      <c r="BR45" s="480">
        <v>0.5</v>
      </c>
      <c r="BS45" s="483"/>
    </row>
    <row r="46" spans="1:71" ht="21">
      <c r="A46" s="90">
        <v>1473</v>
      </c>
      <c r="B46" s="130" t="s">
        <v>164</v>
      </c>
      <c r="C46" s="127"/>
      <c r="D46" s="93"/>
      <c r="E46" s="128">
        <f>'Agronomic traits'!F45</f>
        <v>84</v>
      </c>
      <c r="F46" s="128">
        <f>'Agronomic traits'!H45</f>
        <v>121</v>
      </c>
      <c r="G46" s="129">
        <f>'Agronomic traits'!I45</f>
        <v>68</v>
      </c>
      <c r="H46" s="129">
        <f>'Agronomic traits'!J45</f>
        <v>9</v>
      </c>
      <c r="I46" s="129">
        <f>'Agronomic traits'!K45</f>
        <v>8</v>
      </c>
      <c r="J46" s="130">
        <f>'Agronomic traits'!L45</f>
        <v>2</v>
      </c>
      <c r="K46" s="191" t="s">
        <v>164</v>
      </c>
      <c r="L46" s="132">
        <f>'Field plant descriptors'!C45</f>
        <v>2</v>
      </c>
      <c r="M46" s="128"/>
      <c r="N46" s="128">
        <f>'Field plant descriptors'!E45</f>
        <v>4</v>
      </c>
      <c r="O46" s="128">
        <f>'Field plant descriptors'!F45</f>
        <v>3</v>
      </c>
      <c r="P46" s="133">
        <f>AVERAGE('Field plant descriptors'!G45:L45)</f>
        <v>13.966666666666667</v>
      </c>
      <c r="Q46" s="134">
        <f>STDEV('Field plant descriptors'!G45:L45)</f>
        <v>0.7118052168020832</v>
      </c>
      <c r="R46" s="135">
        <f>'Field plant descriptors'!M45</f>
        <v>5</v>
      </c>
      <c r="S46" s="136">
        <f>'Diseases (blast)'!C49</f>
        <v>5</v>
      </c>
      <c r="T46" s="137">
        <f>'Diseases (blast)'!D49</f>
        <v>2</v>
      </c>
      <c r="U46" s="138"/>
      <c r="V46" s="138"/>
      <c r="W46" s="138"/>
      <c r="X46" s="139"/>
      <c r="Y46" s="130" t="s">
        <v>164</v>
      </c>
      <c r="Z46" s="140"/>
      <c r="AA46" s="141"/>
      <c r="AB46" s="142"/>
      <c r="AC46" s="143"/>
      <c r="AD46" s="144">
        <f>'Field grain descriptors'!C45</f>
        <v>1</v>
      </c>
      <c r="AE46" s="145" t="str">
        <f t="shared" si="2"/>
        <v>Absent</v>
      </c>
      <c r="AF46" s="144">
        <f>'Field grain descriptors'!D45</f>
        <v>7</v>
      </c>
      <c r="AG46" s="146">
        <f>AVERAGE('Field grain descriptors'!E45:H45)</f>
        <v>2.3275</v>
      </c>
      <c r="AH46" s="147">
        <f>STDEV('Field grain descriptors'!E45:H45)</f>
        <v>0.7793319788981667</v>
      </c>
      <c r="AI46" s="148" t="str">
        <f t="shared" si="3"/>
        <v>Medium</v>
      </c>
      <c r="AJ46" s="136">
        <f>'Field grain descriptors'!I45</f>
        <v>1</v>
      </c>
      <c r="AK46" s="130" t="s">
        <v>164</v>
      </c>
      <c r="AL46" s="144">
        <f>'Lab descriptors of grain qualit'!C45</f>
        <v>3</v>
      </c>
      <c r="AM46" s="149" t="str">
        <f t="shared" si="4"/>
        <v>Gold</v>
      </c>
      <c r="AN46" s="146">
        <f>AVERAGE('Lab descriptors of grain qualit'!D45:M45)</f>
        <v>9.014</v>
      </c>
      <c r="AO46" s="147">
        <f>STDEV('Lab descriptors of grain qualit'!D45:M45)</f>
        <v>0.48664840148373967</v>
      </c>
      <c r="AP46" s="146">
        <f>AVERAGE('Lab descriptors of grain qualit'!N45:W45)</f>
        <v>3.1309999999999993</v>
      </c>
      <c r="AQ46" s="149">
        <f>STDEV('Lab descriptors of grain qualit'!N45:W45)</f>
        <v>0.0984829370444017</v>
      </c>
      <c r="AR46" s="382">
        <f t="shared" si="8"/>
        <v>2.87895241137017</v>
      </c>
      <c r="AS46" s="147">
        <f>AVERAGE('Lab descriptors of grain qualit'!X45:AG45)</f>
        <v>2.8820684189720644</v>
      </c>
      <c r="AT46" s="381">
        <f>STDEV('Lab descriptors of grain qualit'!X45:AG45)</f>
        <v>0.18961095415764231</v>
      </c>
      <c r="AU46" s="130" t="s">
        <v>164</v>
      </c>
      <c r="AV46" s="146">
        <f>AVERAGE('Lab descriptors of grain qualit'!AI45:AR45)</f>
        <v>6.683</v>
      </c>
      <c r="AW46" s="147">
        <f>STDEV('Lab descriptors of grain qualit'!AI45:AR45)</f>
        <v>0.2906716360431543</v>
      </c>
      <c r="AX46" s="146">
        <f>AVERAGE('Lab descriptors of grain qualit'!AS45:BB45)</f>
        <v>2.7879999999999994</v>
      </c>
      <c r="AY46" s="147">
        <f>STDEV('Lab descriptors of grain qualit'!AS45:BB45)</f>
        <v>0.146651514368822</v>
      </c>
      <c r="AZ46" s="146">
        <f>AVERAGE('Lab descriptors of grain qualit'!BC45:BL45)</f>
        <v>2.398960590762134</v>
      </c>
      <c r="BA46" s="147">
        <f>STDEV('Lab descriptors of grain qualit'!BC45:BL45)</f>
        <v>0.07020422761526487</v>
      </c>
      <c r="BB46" s="151" t="str">
        <f t="shared" si="9"/>
        <v>Long A</v>
      </c>
      <c r="BC46" s="133">
        <f>'Lab descriptors of grain qualit'!BM45</f>
        <v>32.15</v>
      </c>
      <c r="BD46" s="152">
        <f>'Lab descriptors of grain qualit'!BO45</f>
        <v>0.7219284603421462</v>
      </c>
      <c r="BE46" s="152">
        <f>'Lab descriptors of grain qualit'!BQ45</f>
        <v>0.4839813374805599</v>
      </c>
      <c r="BF46" s="130" t="s">
        <v>164</v>
      </c>
      <c r="BG46" s="386">
        <v>18.6</v>
      </c>
      <c r="BH46" s="153"/>
      <c r="BI46" s="154" t="str">
        <f t="shared" si="5"/>
        <v>High</v>
      </c>
      <c r="BJ46" s="154">
        <f>'Lab descriptors of grain qu (2)'!E45</f>
        <v>7</v>
      </c>
      <c r="BK46" s="155">
        <f>'Lab descriptors of grain qu (2)'!F45</f>
        <v>0.77</v>
      </c>
      <c r="BL46" s="154">
        <f>'Lab descriptors of grain qu (2)'!G45</f>
        <v>9</v>
      </c>
      <c r="BM46" s="156">
        <f>'Lab descriptors of grain qu (2)'!H45</f>
        <v>9</v>
      </c>
      <c r="BN46" s="157">
        <f>'Lab descriptors of grain qu (2)'!I45</f>
        <v>9</v>
      </c>
      <c r="BO46" s="158">
        <f>'Lab descriptors of grain qu (2)'!K45</f>
        <v>0</v>
      </c>
      <c r="BP46" s="140"/>
      <c r="BQ46" s="478" t="s">
        <v>164</v>
      </c>
      <c r="BR46" s="480">
        <v>3</v>
      </c>
      <c r="BS46" s="483"/>
    </row>
    <row r="47" spans="1:71" ht="21">
      <c r="A47" s="90">
        <v>1488</v>
      </c>
      <c r="B47" s="159" t="s">
        <v>165</v>
      </c>
      <c r="C47" s="160"/>
      <c r="D47" s="161"/>
      <c r="E47" s="162">
        <f>'Agronomic traits'!F46</f>
        <v>92</v>
      </c>
      <c r="F47" s="162">
        <f>'Agronomic traits'!H46</f>
        <v>123</v>
      </c>
      <c r="G47" s="163">
        <f>'Agronomic traits'!I46</f>
        <v>75</v>
      </c>
      <c r="H47" s="163">
        <f>'Agronomic traits'!J46</f>
        <v>9</v>
      </c>
      <c r="I47" s="163">
        <f>'Agronomic traits'!K46</f>
        <v>1</v>
      </c>
      <c r="J47" s="159">
        <f>'Agronomic traits'!L46</f>
        <v>3</v>
      </c>
      <c r="K47" s="164" t="s">
        <v>165</v>
      </c>
      <c r="L47" s="165">
        <f>'Field plant descriptors'!C46</f>
        <v>2</v>
      </c>
      <c r="M47" s="162"/>
      <c r="N47" s="162">
        <f>'Field plant descriptors'!E46</f>
        <v>6</v>
      </c>
      <c r="O47" s="162">
        <f>'Field plant descriptors'!F46</f>
        <v>4</v>
      </c>
      <c r="P47" s="166">
        <f>AVERAGE('Field plant descriptors'!G46:L46)</f>
        <v>19.75</v>
      </c>
      <c r="Q47" s="167">
        <f>STDEV('Field plant descriptors'!G46:L46)</f>
        <v>0.8018728078691963</v>
      </c>
      <c r="R47" s="168">
        <f>'Field plant descriptors'!M46</f>
        <v>1</v>
      </c>
      <c r="S47" s="169" t="str">
        <f>'Diseases (blast)'!C51</f>
        <v>4-5</v>
      </c>
      <c r="T47" s="170">
        <f>'Diseases (blast)'!D51</f>
        <v>1</v>
      </c>
      <c r="U47" s="171"/>
      <c r="V47" s="171"/>
      <c r="W47" s="171"/>
      <c r="X47" s="172"/>
      <c r="Y47" s="159" t="s">
        <v>165</v>
      </c>
      <c r="Z47" s="173"/>
      <c r="AA47" s="174"/>
      <c r="AB47" s="175"/>
      <c r="AC47" s="176"/>
      <c r="AD47" s="177">
        <f>'Field grain descriptors'!C46</f>
        <v>1</v>
      </c>
      <c r="AE47" s="178" t="str">
        <f t="shared" si="2"/>
        <v>Absent</v>
      </c>
      <c r="AF47" s="177">
        <f>'Field grain descriptors'!D46</f>
        <v>5</v>
      </c>
      <c r="AG47" s="179">
        <f>AVERAGE('Field grain descriptors'!E46:H46)</f>
        <v>2.85</v>
      </c>
      <c r="AH47" s="180">
        <f>STDEV('Field grain descriptors'!E46:H46)</f>
        <v>0.3527983371087023</v>
      </c>
      <c r="AI47" s="181" t="str">
        <f t="shared" si="3"/>
        <v>Long</v>
      </c>
      <c r="AJ47" s="169">
        <f>'Field grain descriptors'!I46</f>
        <v>1</v>
      </c>
      <c r="AK47" s="159" t="s">
        <v>165</v>
      </c>
      <c r="AL47" s="177">
        <f>'Lab descriptors of grain qualit'!C46</f>
        <v>3</v>
      </c>
      <c r="AM47" s="182" t="str">
        <f t="shared" si="4"/>
        <v>Gold</v>
      </c>
      <c r="AN47" s="179">
        <f>AVERAGE('Lab descriptors of grain qualit'!D46:M46)</f>
        <v>10.228000000000002</v>
      </c>
      <c r="AO47" s="180">
        <f>STDEV('Lab descriptors of grain qualit'!D46:M46)</f>
        <v>0.40832448970011354</v>
      </c>
      <c r="AP47" s="179">
        <f>AVERAGE('Lab descriptors of grain qualit'!N46:W46)</f>
        <v>2.7420000000000004</v>
      </c>
      <c r="AQ47" s="182">
        <f>STDEV('Lab descriptors of grain qualit'!N46:W46)</f>
        <v>0.10737266360151951</v>
      </c>
      <c r="AR47" s="383">
        <f t="shared" si="8"/>
        <v>3.7301239970824214</v>
      </c>
      <c r="AS47" s="180">
        <f>AVERAGE('Lab descriptors of grain qualit'!X46:AG46)</f>
        <v>3.7319201154687063</v>
      </c>
      <c r="AT47" s="384">
        <f>STDEV('Lab descriptors of grain qualit'!X46:AG46)</f>
        <v>0.12740765779328778</v>
      </c>
      <c r="AU47" s="159" t="s">
        <v>165</v>
      </c>
      <c r="AV47" s="179">
        <f>AVERAGE('Lab descriptors of grain qualit'!AI46:AR46)</f>
        <v>7.5920000000000005</v>
      </c>
      <c r="AW47" s="180">
        <f>STDEV('Lab descriptors of grain qualit'!AI46:AR46)</f>
        <v>0.2424779485964874</v>
      </c>
      <c r="AX47" s="179">
        <f>AVERAGE('Lab descriptors of grain qualit'!AS46:BB46)</f>
        <v>2.381</v>
      </c>
      <c r="AY47" s="180">
        <f>STDEV('Lab descriptors of grain qualit'!AS46:BB46)</f>
        <v>0.07171703656268863</v>
      </c>
      <c r="AZ47" s="179">
        <f>AVERAGE('Lab descriptors of grain qualit'!BC46:BL46)</f>
        <v>3.190005355591334</v>
      </c>
      <c r="BA47" s="180">
        <f>STDEV('Lab descriptors of grain qualit'!BC46:BL46)</f>
        <v>0.10640537654514914</v>
      </c>
      <c r="BB47" s="183" t="str">
        <f t="shared" si="9"/>
        <v>Long B</v>
      </c>
      <c r="BC47" s="166">
        <f>'Lab descriptors of grain qualit'!BM46</f>
        <v>27.79</v>
      </c>
      <c r="BD47" s="184">
        <f>'Lab descriptors of grain qualit'!BO46</f>
        <v>0.698452680820439</v>
      </c>
      <c r="BE47" s="184">
        <f>'Lab descriptors of grain qualit'!BQ46</f>
        <v>0.6552716804605974</v>
      </c>
      <c r="BF47" s="159" t="s">
        <v>165</v>
      </c>
      <c r="BG47" s="386">
        <v>18.97</v>
      </c>
      <c r="BH47" s="185"/>
      <c r="BI47" s="186" t="str">
        <f t="shared" si="5"/>
        <v>High</v>
      </c>
      <c r="BJ47" s="186">
        <f>'Lab descriptors of grain qu (2)'!E46</f>
        <v>7</v>
      </c>
      <c r="BK47" s="187">
        <f>'Lab descriptors of grain qu (2)'!F46</f>
        <v>0.04</v>
      </c>
      <c r="BL47" s="186">
        <f>'Lab descriptors of grain qu (2)'!G46</f>
        <v>1</v>
      </c>
      <c r="BM47" s="188">
        <f>'Lab descriptors of grain qu (2)'!H46</f>
        <v>0</v>
      </c>
      <c r="BN47" s="189">
        <f>'Lab descriptors of grain qu (2)'!I46</f>
        <v>5</v>
      </c>
      <c r="BO47" s="190">
        <f>'Lab descriptors of grain qu (2)'!K46</f>
        <v>0</v>
      </c>
      <c r="BP47" s="173"/>
      <c r="BQ47" s="477" t="s">
        <v>165</v>
      </c>
      <c r="BR47" s="480">
        <v>1</v>
      </c>
      <c r="BS47" s="483"/>
    </row>
    <row r="48" spans="1:71" ht="21">
      <c r="A48" s="90">
        <v>1489</v>
      </c>
      <c r="B48" s="159" t="s">
        <v>166</v>
      </c>
      <c r="C48" s="160"/>
      <c r="D48" s="161"/>
      <c r="E48" s="162">
        <f>'Agronomic traits'!F47</f>
        <v>91</v>
      </c>
      <c r="F48" s="162">
        <f>'Agronomic traits'!H47</f>
        <v>123</v>
      </c>
      <c r="G48" s="163">
        <f>'Agronomic traits'!I47</f>
        <v>44</v>
      </c>
      <c r="H48" s="163">
        <f>'Agronomic traits'!J47</f>
        <v>9</v>
      </c>
      <c r="I48" s="163">
        <f>'Agronomic traits'!K47</f>
        <v>6</v>
      </c>
      <c r="J48" s="159">
        <f>'Agronomic traits'!L47</f>
        <v>3</v>
      </c>
      <c r="K48" s="164" t="s">
        <v>166</v>
      </c>
      <c r="L48" s="165">
        <f>'Field plant descriptors'!C47</f>
        <v>4</v>
      </c>
      <c r="M48" s="162"/>
      <c r="N48" s="162">
        <f>'Field plant descriptors'!E47</f>
        <v>2</v>
      </c>
      <c r="O48" s="162">
        <f>'Field plant descriptors'!F47</f>
        <v>3</v>
      </c>
      <c r="P48" s="166">
        <f>AVERAGE('Field plant descriptors'!G47:L47)</f>
        <v>15.199999999999998</v>
      </c>
      <c r="Q48" s="167">
        <f>STDEV('Field plant descriptors'!G47:L47)</f>
        <v>1.3386560424545406</v>
      </c>
      <c r="R48" s="168">
        <f>'Field plant descriptors'!M47</f>
        <v>5</v>
      </c>
      <c r="S48" s="169">
        <f>'Diseases (blast)'!C52</f>
        <v>5</v>
      </c>
      <c r="T48" s="170">
        <f>'Diseases (blast)'!D52</f>
        <v>1</v>
      </c>
      <c r="U48" s="171"/>
      <c r="V48" s="171"/>
      <c r="W48" s="171"/>
      <c r="X48" s="172"/>
      <c r="Y48" s="159" t="s">
        <v>166</v>
      </c>
      <c r="Z48" s="173"/>
      <c r="AA48" s="174"/>
      <c r="AB48" s="175"/>
      <c r="AC48" s="176"/>
      <c r="AD48" s="177">
        <f>'Field grain descriptors'!C47</f>
        <v>0</v>
      </c>
      <c r="AE48" s="178" t="str">
        <f t="shared" si="2"/>
        <v>?</v>
      </c>
      <c r="AF48" s="177">
        <f>'Field grain descriptors'!D47</f>
        <v>5</v>
      </c>
      <c r="AG48" s="179">
        <f>AVERAGE('Field grain descriptors'!E47:H47)</f>
        <v>2.7875</v>
      </c>
      <c r="AH48" s="180">
        <f>STDEV('Field grain descriptors'!E47:H47)</f>
        <v>0.16276260831857972</v>
      </c>
      <c r="AI48" s="181" t="str">
        <f t="shared" si="3"/>
        <v>Long</v>
      </c>
      <c r="AJ48" s="169">
        <f>'Field grain descriptors'!I47</f>
        <v>1</v>
      </c>
      <c r="AK48" s="159" t="s">
        <v>166</v>
      </c>
      <c r="AL48" s="177">
        <f>'Lab descriptors of grain qualit'!C47</f>
        <v>1</v>
      </c>
      <c r="AM48" s="182" t="str">
        <f t="shared" si="4"/>
        <v>Straw</v>
      </c>
      <c r="AN48" s="179">
        <f>AVERAGE('Lab descriptors of grain qualit'!D47:M47)</f>
        <v>9.216</v>
      </c>
      <c r="AO48" s="180">
        <f>STDEV('Lab descriptors of grain qualit'!D47:M47)</f>
        <v>0.3290457583849382</v>
      </c>
      <c r="AP48" s="179">
        <f>AVERAGE('Lab descriptors of grain qualit'!N47:W47)</f>
        <v>3.2689999999999997</v>
      </c>
      <c r="AQ48" s="182">
        <f>STDEV('Lab descriptors of grain qualit'!N47:W47)</f>
        <v>0.14760683513230674</v>
      </c>
      <c r="AR48" s="383">
        <f t="shared" si="8"/>
        <v>2.819210767818905</v>
      </c>
      <c r="AS48" s="180">
        <f>AVERAGE('Lab descriptors of grain qualit'!X47:AG47)</f>
        <v>2.8224774203508565</v>
      </c>
      <c r="AT48" s="384">
        <f>STDEV('Lab descriptors of grain qualit'!X47:AG47)</f>
        <v>0.12214513149163539</v>
      </c>
      <c r="AU48" s="159" t="s">
        <v>166</v>
      </c>
      <c r="AV48" s="179">
        <f>AVERAGE('Lab descriptors of grain qualit'!AI47:AR47)</f>
        <v>6.694</v>
      </c>
      <c r="AW48" s="180">
        <f>STDEV('Lab descriptors of grain qualit'!AI47:AR47)</f>
        <v>0.28273269669031914</v>
      </c>
      <c r="AX48" s="179">
        <f>AVERAGE('Lab descriptors of grain qualit'!AS47:BB47)</f>
        <v>2.783</v>
      </c>
      <c r="AY48" s="180">
        <f>STDEV('Lab descriptors of grain qualit'!AS47:BB47)</f>
        <v>0.10488618169764728</v>
      </c>
      <c r="AZ48" s="179">
        <f>AVERAGE('Lab descriptors of grain qualit'!BC47:BL47)</f>
        <v>2.4070848554655524</v>
      </c>
      <c r="BA48" s="180">
        <f>STDEV('Lab descriptors of grain qualit'!BC47:BL47)</f>
        <v>0.10575413348733768</v>
      </c>
      <c r="BB48" s="183" t="str">
        <f t="shared" si="9"/>
        <v>Long A</v>
      </c>
      <c r="BC48" s="166">
        <f>'Lab descriptors of grain qualit'!BM47</f>
        <v>31.07</v>
      </c>
      <c r="BD48" s="184">
        <f>'Lab descriptors of grain qualit'!BO47</f>
        <v>0.7228838107499196</v>
      </c>
      <c r="BE48" s="184">
        <f>'Lab descriptors of grain qualit'!BQ47</f>
        <v>0.700032185387834</v>
      </c>
      <c r="BF48" s="159" t="s">
        <v>166</v>
      </c>
      <c r="BG48" s="386">
        <v>24.12</v>
      </c>
      <c r="BH48" s="185"/>
      <c r="BI48" s="186" t="str">
        <f t="shared" si="5"/>
        <v>High</v>
      </c>
      <c r="BJ48" s="186">
        <f>'Lab descriptors of grain qu (2)'!E47</f>
        <v>7</v>
      </c>
      <c r="BK48" s="187">
        <f>'Lab descriptors of grain qu (2)'!F47</f>
        <v>0.27</v>
      </c>
      <c r="BL48" s="186">
        <f>'Lab descriptors of grain qu (2)'!G47</f>
        <v>3</v>
      </c>
      <c r="BM48" s="188">
        <f>'Lab descriptors of grain qu (2)'!H47</f>
        <v>0</v>
      </c>
      <c r="BN48" s="189">
        <f>'Lab descriptors of grain qu (2)'!I47</f>
        <v>9</v>
      </c>
      <c r="BO48" s="190">
        <f>'Lab descriptors of grain qu (2)'!K47</f>
        <v>0</v>
      </c>
      <c r="BP48" s="173"/>
      <c r="BQ48" s="477" t="s">
        <v>166</v>
      </c>
      <c r="BR48" s="480">
        <v>0</v>
      </c>
      <c r="BS48" s="483"/>
    </row>
    <row r="49" spans="1:71" ht="21">
      <c r="A49" s="90">
        <v>1506</v>
      </c>
      <c r="B49" s="159" t="s">
        <v>167</v>
      </c>
      <c r="C49" s="160"/>
      <c r="D49" s="161"/>
      <c r="E49" s="162">
        <f>'Agronomic traits'!F48</f>
        <v>91</v>
      </c>
      <c r="F49" s="162">
        <f>'Agronomic traits'!H48</f>
        <v>121</v>
      </c>
      <c r="G49" s="163">
        <f>'Agronomic traits'!I48</f>
        <v>46</v>
      </c>
      <c r="H49" s="163">
        <f>'Agronomic traits'!J48</f>
        <v>9</v>
      </c>
      <c r="I49" s="163">
        <f>'Agronomic traits'!K48</f>
        <v>6</v>
      </c>
      <c r="J49" s="159">
        <f>'Agronomic traits'!L48</f>
        <v>2</v>
      </c>
      <c r="K49" s="164" t="s">
        <v>167</v>
      </c>
      <c r="L49" s="165">
        <f>'Field plant descriptors'!C48</f>
        <v>2</v>
      </c>
      <c r="M49" s="162"/>
      <c r="N49" s="162">
        <f>'Field plant descriptors'!E48</f>
        <v>2</v>
      </c>
      <c r="O49" s="162">
        <f>'Field plant descriptors'!F48</f>
        <v>3</v>
      </c>
      <c r="P49" s="166">
        <f>AVERAGE('Field plant descriptors'!G48:L48)</f>
        <v>15.033333333333333</v>
      </c>
      <c r="Q49" s="167">
        <f>STDEV('Field plant descriptors'!G48:L48)</f>
        <v>2.0304350929459924</v>
      </c>
      <c r="R49" s="168">
        <f>'Field plant descriptors'!M48</f>
        <v>1</v>
      </c>
      <c r="S49" s="169" t="str">
        <f>'Diseases (blast)'!C53</f>
        <v>N/A</v>
      </c>
      <c r="T49" s="170" t="str">
        <f>'Diseases (blast)'!D53</f>
        <v>N/A</v>
      </c>
      <c r="U49" s="171"/>
      <c r="V49" s="171"/>
      <c r="W49" s="171"/>
      <c r="X49" s="172"/>
      <c r="Y49" s="159" t="s">
        <v>167</v>
      </c>
      <c r="Z49" s="173"/>
      <c r="AA49" s="174"/>
      <c r="AB49" s="175"/>
      <c r="AC49" s="176"/>
      <c r="AD49" s="177">
        <f>'Field grain descriptors'!C48</f>
        <v>0</v>
      </c>
      <c r="AE49" s="178" t="str">
        <f t="shared" si="2"/>
        <v>?</v>
      </c>
      <c r="AF49" s="177">
        <f>'Field grain descriptors'!D48</f>
        <v>5</v>
      </c>
      <c r="AG49" s="179">
        <f>AVERAGE('Field grain descriptors'!E48:H48)</f>
        <v>2.1774999999999998</v>
      </c>
      <c r="AH49" s="180">
        <f>STDEV('Field grain descriptors'!E48:H48)</f>
        <v>0.3910988792279203</v>
      </c>
      <c r="AI49" s="181" t="str">
        <f t="shared" si="3"/>
        <v>Medium</v>
      </c>
      <c r="AJ49" s="169">
        <f>'Field grain descriptors'!I48</f>
        <v>1</v>
      </c>
      <c r="AK49" s="159" t="s">
        <v>167</v>
      </c>
      <c r="AL49" s="177">
        <f>'Lab descriptors of grain qualit'!C48</f>
        <v>3</v>
      </c>
      <c r="AM49" s="182" t="str">
        <f t="shared" si="4"/>
        <v>Gold</v>
      </c>
      <c r="AN49" s="179">
        <f>AVERAGE('Lab descriptors of grain qualit'!D48:M48)</f>
        <v>7.571000000000001</v>
      </c>
      <c r="AO49" s="180">
        <f>STDEV('Lab descriptors of grain qualit'!D48:M48)</f>
        <v>0.3903972335967318</v>
      </c>
      <c r="AP49" s="179">
        <f>AVERAGE('Lab descriptors of grain qualit'!N48:W48)</f>
        <v>3.182</v>
      </c>
      <c r="AQ49" s="182">
        <f>STDEV('Lab descriptors of grain qualit'!N48:W48)</f>
        <v>0.10206751578134432</v>
      </c>
      <c r="AR49" s="383">
        <f t="shared" si="8"/>
        <v>2.3793211816467634</v>
      </c>
      <c r="AS49" s="180">
        <f>AVERAGE('Lab descriptors of grain qualit'!X48:AG48)</f>
        <v>2.3813361589413065</v>
      </c>
      <c r="AT49" s="384">
        <f>STDEV('Lab descriptors of grain qualit'!X48:AG48)</f>
        <v>0.1401014281886985</v>
      </c>
      <c r="AU49" s="159" t="s">
        <v>167</v>
      </c>
      <c r="AV49" s="179">
        <f>AVERAGE('Lab descriptors of grain qualit'!AI48:AR48)</f>
        <v>5.212</v>
      </c>
      <c r="AW49" s="180">
        <f>STDEV('Lab descriptors of grain qualit'!AI48:AR48)</f>
        <v>0.2060097085091027</v>
      </c>
      <c r="AX49" s="179">
        <f>AVERAGE('Lab descriptors of grain qualit'!AS48:BB48)</f>
        <v>2.693</v>
      </c>
      <c r="AY49" s="180">
        <f>STDEV('Lab descriptors of grain qualit'!AS48:BB48)</f>
        <v>0.06272515001533192</v>
      </c>
      <c r="AZ49" s="179">
        <f>AVERAGE('Lab descriptors of grain qualit'!BC48:BL48)</f>
        <v>1.9357150641862428</v>
      </c>
      <c r="BA49" s="180">
        <f>STDEV('Lab descriptors of grain qualit'!BC48:BL48)</f>
        <v>0.07252097620535806</v>
      </c>
      <c r="BB49" s="183" t="str">
        <f t="shared" si="9"/>
        <v>Medium</v>
      </c>
      <c r="BC49" s="166">
        <f>'Lab descriptors of grain qualit'!BM48</f>
        <v>23.66</v>
      </c>
      <c r="BD49" s="184">
        <f>'Lab descriptors of grain qualit'!BO48</f>
        <v>0.6787827557058326</v>
      </c>
      <c r="BE49" s="184">
        <f>'Lab descriptors of grain qualit'!BQ48</f>
        <v>0.6276415891800508</v>
      </c>
      <c r="BF49" s="159" t="s">
        <v>167</v>
      </c>
      <c r="BG49" s="386">
        <v>25.97</v>
      </c>
      <c r="BH49" s="185"/>
      <c r="BI49" s="186" t="str">
        <f t="shared" si="5"/>
        <v>Intermediate</v>
      </c>
      <c r="BJ49" s="186">
        <f>'Lab descriptors of grain qu (2)'!E48</f>
        <v>5</v>
      </c>
      <c r="BK49" s="187">
        <f>'Lab descriptors of grain qu (2)'!F48</f>
        <v>1</v>
      </c>
      <c r="BL49" s="186">
        <f>'Lab descriptors of grain qu (2)'!G48</f>
        <v>7</v>
      </c>
      <c r="BM49" s="188">
        <f>'Lab descriptors of grain qu (2)'!H48</f>
        <v>9</v>
      </c>
      <c r="BN49" s="189">
        <f>'Lab descriptors of grain qu (2)'!I48</f>
        <v>0</v>
      </c>
      <c r="BO49" s="190">
        <f>'Lab descriptors of grain qu (2)'!K48</f>
        <v>0</v>
      </c>
      <c r="BP49" s="173"/>
      <c r="BQ49" s="477" t="s">
        <v>167</v>
      </c>
      <c r="BR49" s="480">
        <v>0</v>
      </c>
      <c r="BS49" s="483"/>
    </row>
    <row r="50" spans="1:71" ht="21">
      <c r="A50" s="90">
        <v>1508</v>
      </c>
      <c r="B50" s="159" t="s">
        <v>168</v>
      </c>
      <c r="C50" s="160"/>
      <c r="D50" s="161"/>
      <c r="E50" s="162">
        <f>'Agronomic traits'!F49</f>
        <v>102</v>
      </c>
      <c r="F50" s="162">
        <f>'Agronomic traits'!H49</f>
        <v>150</v>
      </c>
      <c r="G50" s="163">
        <f>'Agronomic traits'!I49</f>
        <v>65</v>
      </c>
      <c r="H50" s="163">
        <f>'Agronomic traits'!J49</f>
        <v>9</v>
      </c>
      <c r="I50" s="163">
        <f>'Agronomic traits'!K49</f>
        <v>2</v>
      </c>
      <c r="J50" s="159">
        <f>'Agronomic traits'!L49</f>
        <v>2</v>
      </c>
      <c r="K50" s="164" t="s">
        <v>168</v>
      </c>
      <c r="L50" s="165">
        <f>'Field plant descriptors'!C49</f>
        <v>2</v>
      </c>
      <c r="M50" s="162"/>
      <c r="N50" s="162">
        <f>'Field plant descriptors'!E49</f>
        <v>3</v>
      </c>
      <c r="O50" s="162">
        <f>'Field plant descriptors'!F49</f>
        <v>3</v>
      </c>
      <c r="P50" s="166">
        <f>AVERAGE('Field plant descriptors'!G49:L49)</f>
        <v>15</v>
      </c>
      <c r="Q50" s="167">
        <f>STDEV('Field plant descriptors'!G49:L49)</f>
        <v>1.1189280584559484</v>
      </c>
      <c r="R50" s="168">
        <f>'Field plant descriptors'!M49</f>
        <v>5</v>
      </c>
      <c r="S50" s="169" t="str">
        <f>'Diseases (blast)'!C54</f>
        <v>2-3</v>
      </c>
      <c r="T50" s="170">
        <f>'Diseases (blast)'!D54</f>
        <v>1</v>
      </c>
      <c r="U50" s="171"/>
      <c r="V50" s="171"/>
      <c r="W50" s="171"/>
      <c r="X50" s="172"/>
      <c r="Y50" s="159" t="s">
        <v>168</v>
      </c>
      <c r="Z50" s="173"/>
      <c r="AA50" s="174"/>
      <c r="AB50" s="175"/>
      <c r="AC50" s="176"/>
      <c r="AD50" s="177">
        <f>'Field grain descriptors'!C49</f>
        <v>1</v>
      </c>
      <c r="AE50" s="178" t="str">
        <f t="shared" si="2"/>
        <v>Absent</v>
      </c>
      <c r="AF50" s="177">
        <f>'Field grain descriptors'!D49</f>
        <v>1</v>
      </c>
      <c r="AG50" s="179">
        <f>AVERAGE('Field grain descriptors'!E49:H49)</f>
        <v>2.6675</v>
      </c>
      <c r="AH50" s="180">
        <f>STDEV('Field grain descriptors'!E49:H49)</f>
        <v>0.04991659710623977</v>
      </c>
      <c r="AI50" s="181" t="str">
        <f t="shared" si="3"/>
        <v>Long</v>
      </c>
      <c r="AJ50" s="169">
        <f>'Field grain descriptors'!I49</f>
        <v>3</v>
      </c>
      <c r="AK50" s="159" t="s">
        <v>168</v>
      </c>
      <c r="AL50" s="177">
        <f>'Lab descriptors of grain qualit'!C49</f>
        <v>3</v>
      </c>
      <c r="AM50" s="182" t="str">
        <f t="shared" si="4"/>
        <v>Gold</v>
      </c>
      <c r="AN50" s="179">
        <f>AVERAGE('Lab descriptors of grain qualit'!D49:M49)</f>
        <v>8.088</v>
      </c>
      <c r="AO50" s="180">
        <f>STDEV('Lab descriptors of grain qualit'!D49:M49)</f>
        <v>0.4503529480061117</v>
      </c>
      <c r="AP50" s="179">
        <f>AVERAGE('Lab descriptors of grain qualit'!N49:W49)</f>
        <v>3.3489999999999993</v>
      </c>
      <c r="AQ50" s="182">
        <f>STDEV('Lab descriptors of grain qualit'!N49:W49)</f>
        <v>0.10774970997643632</v>
      </c>
      <c r="AR50" s="383">
        <f t="shared" si="8"/>
        <v>2.4150492684383402</v>
      </c>
      <c r="AS50" s="180">
        <f>AVERAGE('Lab descriptors of grain qualit'!X49:AG49)</f>
        <v>2.414472184156037</v>
      </c>
      <c r="AT50" s="384">
        <f>STDEV('Lab descriptors of grain qualit'!X49:AG49)</f>
        <v>0.09563087900833209</v>
      </c>
      <c r="AU50" s="159" t="s">
        <v>168</v>
      </c>
      <c r="AV50" s="179">
        <f>AVERAGE('Lab descriptors of grain qualit'!AI49:AR49)</f>
        <v>5.849</v>
      </c>
      <c r="AW50" s="180">
        <f>STDEV('Lab descriptors of grain qualit'!AI49:AR49)</f>
        <v>0.22575552165021517</v>
      </c>
      <c r="AX50" s="179">
        <f>AVERAGE('Lab descriptors of grain qualit'!AS49:BB49)</f>
        <v>2.8870000000000005</v>
      </c>
      <c r="AY50" s="180">
        <f>STDEV('Lab descriptors of grain qualit'!AS49:BB49)</f>
        <v>0.07572611467942159</v>
      </c>
      <c r="AZ50" s="179">
        <f>AVERAGE('Lab descriptors of grain qualit'!BC49:BL49)</f>
        <v>2.026676448575023</v>
      </c>
      <c r="BA50" s="180">
        <f>STDEV('Lab descriptors of grain qualit'!BC49:BL49)</f>
        <v>0.07999536205792564</v>
      </c>
      <c r="BB50" s="183" t="str">
        <f t="shared" si="9"/>
        <v>Medium</v>
      </c>
      <c r="BC50" s="166">
        <f>'Lab descriptors of grain qualit'!BM49</f>
        <v>29.25</v>
      </c>
      <c r="BD50" s="184">
        <f>'Lab descriptors of grain qualit'!BO49</f>
        <v>0.6752136752136753</v>
      </c>
      <c r="BE50" s="184">
        <f>'Lab descriptors of grain qualit'!BQ49</f>
        <v>0.6393162393162393</v>
      </c>
      <c r="BF50" s="159" t="s">
        <v>168</v>
      </c>
      <c r="BG50" s="386">
        <v>18.21</v>
      </c>
      <c r="BH50" s="185"/>
      <c r="BI50" s="186" t="str">
        <f t="shared" si="5"/>
        <v>High</v>
      </c>
      <c r="BJ50" s="186">
        <f>'Lab descriptors of grain qu (2)'!E49</f>
        <v>6</v>
      </c>
      <c r="BK50" s="187">
        <f>'Lab descriptors of grain qu (2)'!F49</f>
        <v>0.92</v>
      </c>
      <c r="BL50" s="186">
        <f>'Lab descriptors of grain qu (2)'!G49</f>
        <v>5</v>
      </c>
      <c r="BM50" s="188">
        <f>'Lab descriptors of grain qu (2)'!H49</f>
        <v>5</v>
      </c>
      <c r="BN50" s="189">
        <f>'Lab descriptors of grain qu (2)'!I49</f>
        <v>0</v>
      </c>
      <c r="BO50" s="190">
        <f>'Lab descriptors of grain qu (2)'!K49</f>
        <v>0</v>
      </c>
      <c r="BP50" s="173"/>
      <c r="BQ50" s="477" t="s">
        <v>168</v>
      </c>
      <c r="BR50" s="480">
        <v>0</v>
      </c>
      <c r="BS50" s="483"/>
    </row>
    <row r="51" spans="1:71" ht="21">
      <c r="A51" s="90">
        <v>1511</v>
      </c>
      <c r="B51" s="130" t="s">
        <v>169</v>
      </c>
      <c r="C51" s="127"/>
      <c r="D51" s="93"/>
      <c r="E51" s="128">
        <f>'Agronomic traits'!F50</f>
        <v>86</v>
      </c>
      <c r="F51" s="128">
        <f>'Agronomic traits'!H50</f>
        <v>121</v>
      </c>
      <c r="G51" s="129">
        <f>'Agronomic traits'!I50</f>
        <v>77</v>
      </c>
      <c r="H51" s="129">
        <f>'Agronomic traits'!J50</f>
        <v>9</v>
      </c>
      <c r="I51" s="129">
        <f>'Agronomic traits'!K50</f>
        <v>1</v>
      </c>
      <c r="J51" s="130">
        <f>'Agronomic traits'!L50</f>
        <v>2</v>
      </c>
      <c r="K51" s="191" t="s">
        <v>169</v>
      </c>
      <c r="L51" s="132">
        <f>'Field plant descriptors'!C50</f>
        <v>2</v>
      </c>
      <c r="M51" s="128"/>
      <c r="N51" s="128">
        <f>'Field plant descriptors'!E50</f>
        <v>4</v>
      </c>
      <c r="O51" s="128">
        <f>'Field plant descriptors'!F50</f>
        <v>3</v>
      </c>
      <c r="P51" s="133">
        <f>AVERAGE('Field plant descriptors'!G50:L50)</f>
        <v>15.133333333333335</v>
      </c>
      <c r="Q51" s="134">
        <f>STDEV('Field plant descriptors'!G50:L50)</f>
        <v>1.7235622027262747</v>
      </c>
      <c r="R51" s="135">
        <f>'Field plant descriptors'!M50</f>
        <v>5</v>
      </c>
      <c r="S51" s="136">
        <f>'Diseases (blast)'!C55</f>
        <v>4</v>
      </c>
      <c r="T51" s="137">
        <f>'Diseases (blast)'!D55</f>
        <v>1</v>
      </c>
      <c r="U51" s="138"/>
      <c r="V51" s="138"/>
      <c r="W51" s="138"/>
      <c r="X51" s="139"/>
      <c r="Y51" s="130" t="s">
        <v>169</v>
      </c>
      <c r="Z51" s="140"/>
      <c r="AA51" s="141"/>
      <c r="AB51" s="142"/>
      <c r="AC51" s="143"/>
      <c r="AD51" s="144">
        <f>'Field grain descriptors'!C50</f>
        <v>1</v>
      </c>
      <c r="AE51" s="145" t="str">
        <f t="shared" si="2"/>
        <v>Absent</v>
      </c>
      <c r="AF51" s="144">
        <f>'Field grain descriptors'!D50</f>
        <v>5</v>
      </c>
      <c r="AG51" s="146">
        <f>AVERAGE('Field grain descriptors'!E50:H50)</f>
        <v>2.8925</v>
      </c>
      <c r="AH51" s="147">
        <f>STDEV('Field grain descriptors'!E50:H50)</f>
        <v>0.1927649691550124</v>
      </c>
      <c r="AI51" s="148" t="str">
        <f t="shared" si="3"/>
        <v>Long</v>
      </c>
      <c r="AJ51" s="136">
        <f>'Field grain descriptors'!I50</f>
        <v>2</v>
      </c>
      <c r="AK51" s="130" t="s">
        <v>169</v>
      </c>
      <c r="AL51" s="144">
        <f>'Lab descriptors of grain qualit'!C50</f>
        <v>3</v>
      </c>
      <c r="AM51" s="149" t="str">
        <f t="shared" si="4"/>
        <v>Gold</v>
      </c>
      <c r="AN51" s="146">
        <f>AVERAGE('Lab descriptors of grain qualit'!D50:M50)</f>
        <v>9.155</v>
      </c>
      <c r="AO51" s="147">
        <f>STDEV('Lab descriptors of grain qualit'!D50:M50)</f>
        <v>0.34795433927776054</v>
      </c>
      <c r="AP51" s="146">
        <f>AVERAGE('Lab descriptors of grain qualit'!N50:W50)</f>
        <v>3.3059999999999996</v>
      </c>
      <c r="AQ51" s="149">
        <f>STDEV('Lab descriptors of grain qualit'!N50:W50)</f>
        <v>0.11777568132307681</v>
      </c>
      <c r="AR51" s="382">
        <f t="shared" si="8"/>
        <v>2.769207501512402</v>
      </c>
      <c r="AS51" s="147">
        <f>AVERAGE('Lab descriptors of grain qualit'!X50:AG50)</f>
        <v>2.7710608501509753</v>
      </c>
      <c r="AT51" s="381">
        <f>STDEV('Lab descriptors of grain qualit'!X50:AG50)</f>
        <v>0.11552670435973204</v>
      </c>
      <c r="AU51" s="130" t="s">
        <v>169</v>
      </c>
      <c r="AV51" s="146">
        <f>AVERAGE('Lab descriptors of grain qualit'!AI50:AR50)</f>
        <v>6.537999999999999</v>
      </c>
      <c r="AW51" s="147">
        <f>STDEV('Lab descriptors of grain qualit'!AI50:AR50)</f>
        <v>0.3675988151353172</v>
      </c>
      <c r="AX51" s="146">
        <f>AVERAGE('Lab descriptors of grain qualit'!AS50:BB50)</f>
        <v>2.834</v>
      </c>
      <c r="AY51" s="147">
        <f>STDEV('Lab descriptors of grain qualit'!AS50:BB50)</f>
        <v>0.06719788356456412</v>
      </c>
      <c r="AZ51" s="146">
        <f>AVERAGE('Lab descriptors of grain qualit'!BC50:BL50)</f>
        <v>2.307017745135071</v>
      </c>
      <c r="BA51" s="147">
        <f>STDEV('Lab descriptors of grain qualit'!BC50:BL50)</f>
        <v>0.12052950318741927</v>
      </c>
      <c r="BB51" s="151" t="str">
        <f t="shared" si="9"/>
        <v>Long A</v>
      </c>
      <c r="BC51" s="133">
        <f>'Lab descriptors of grain qualit'!BM50</f>
        <v>32.66</v>
      </c>
      <c r="BD51" s="152">
        <f>'Lab descriptors of grain qualit'!BO50</f>
        <v>0.7048377219840785</v>
      </c>
      <c r="BE51" s="152">
        <f>'Lab descriptors of grain qualit'!BQ50</f>
        <v>0.6301285976729946</v>
      </c>
      <c r="BF51" s="130" t="s">
        <v>169</v>
      </c>
      <c r="BG51" s="386">
        <v>18.75</v>
      </c>
      <c r="BH51" s="153"/>
      <c r="BI51" s="154" t="str">
        <f t="shared" si="5"/>
        <v>High</v>
      </c>
      <c r="BJ51" s="154">
        <f>'Lab descriptors of grain qu (2)'!E50</f>
        <v>7</v>
      </c>
      <c r="BK51" s="155">
        <f>'Lab descriptors of grain qu (2)'!F50</f>
        <v>0.98</v>
      </c>
      <c r="BL51" s="154">
        <f>'Lab descriptors of grain qu (2)'!G50</f>
        <v>7</v>
      </c>
      <c r="BM51" s="156">
        <f>'Lab descriptors of grain qu (2)'!H50</f>
        <v>9</v>
      </c>
      <c r="BN51" s="157">
        <f>'Lab descriptors of grain qu (2)'!I50</f>
        <v>0</v>
      </c>
      <c r="BO51" s="158">
        <f>'Lab descriptors of grain qu (2)'!K50</f>
        <v>0</v>
      </c>
      <c r="BP51" s="140"/>
      <c r="BQ51" s="478" t="s">
        <v>169</v>
      </c>
      <c r="BR51" s="480">
        <v>0.5</v>
      </c>
      <c r="BS51" s="483"/>
    </row>
    <row r="52" spans="1:71" ht="21">
      <c r="A52" s="90">
        <v>1514</v>
      </c>
      <c r="B52" s="126" t="s">
        <v>170</v>
      </c>
      <c r="C52" s="127"/>
      <c r="D52" s="93"/>
      <c r="E52" s="128">
        <f>'Agronomic traits'!F51</f>
        <v>83</v>
      </c>
      <c r="F52" s="128">
        <f>'Agronomic traits'!H51</f>
        <v>119</v>
      </c>
      <c r="G52" s="129">
        <f>'Agronomic traits'!I51</f>
        <v>70</v>
      </c>
      <c r="H52" s="129">
        <f>'Agronomic traits'!J51</f>
        <v>9</v>
      </c>
      <c r="I52" s="129">
        <f>'Agronomic traits'!K51</f>
        <v>1</v>
      </c>
      <c r="J52" s="130">
        <f>'Agronomic traits'!L51</f>
        <v>2</v>
      </c>
      <c r="K52" s="131" t="s">
        <v>170</v>
      </c>
      <c r="L52" s="132">
        <f>'Field plant descriptors'!C51</f>
        <v>2</v>
      </c>
      <c r="M52" s="128"/>
      <c r="N52" s="128">
        <f>'Field plant descriptors'!E51</f>
        <v>2</v>
      </c>
      <c r="O52" s="128">
        <f>'Field plant descriptors'!F51</f>
        <v>3</v>
      </c>
      <c r="P52" s="133">
        <f>AVERAGE('Field plant descriptors'!G51:L51)</f>
        <v>13.066666666666668</v>
      </c>
      <c r="Q52" s="134">
        <f>STDEV('Field plant descriptors'!G51:L51)</f>
        <v>0.6282250127673846</v>
      </c>
      <c r="R52" s="135">
        <f>'Field plant descriptors'!M51</f>
        <v>1</v>
      </c>
      <c r="S52" s="136" t="str">
        <f>'Diseases (blast)'!C56</f>
        <v>4-5</v>
      </c>
      <c r="T52" s="137">
        <f>'Diseases (blast)'!D56</f>
        <v>1</v>
      </c>
      <c r="U52" s="138"/>
      <c r="V52" s="138"/>
      <c r="W52" s="138"/>
      <c r="X52" s="139"/>
      <c r="Y52" s="126" t="s">
        <v>170</v>
      </c>
      <c r="Z52" s="140"/>
      <c r="AA52" s="141"/>
      <c r="AB52" s="142"/>
      <c r="AC52" s="143"/>
      <c r="AD52" s="144">
        <f>'Field grain descriptors'!C51</f>
        <v>1</v>
      </c>
      <c r="AE52" s="145" t="str">
        <f t="shared" si="2"/>
        <v>Absent</v>
      </c>
      <c r="AF52" s="144">
        <f>'Field grain descriptors'!D51</f>
        <v>7</v>
      </c>
      <c r="AG52" s="146">
        <f>AVERAGE('Field grain descriptors'!E51:H51)</f>
        <v>2.0575</v>
      </c>
      <c r="AH52" s="147">
        <f>STDEV('Field grain descriptors'!E51:H51)</f>
        <v>0.35845734288289666</v>
      </c>
      <c r="AI52" s="148" t="str">
        <f t="shared" si="3"/>
        <v>Medium</v>
      </c>
      <c r="AJ52" s="136">
        <f>'Field grain descriptors'!I51</f>
        <v>1</v>
      </c>
      <c r="AK52" s="126" t="s">
        <v>170</v>
      </c>
      <c r="AL52" s="144">
        <f>'Lab descriptors of grain qualit'!C51</f>
        <v>3</v>
      </c>
      <c r="AM52" s="149" t="str">
        <f t="shared" si="4"/>
        <v>Gold</v>
      </c>
      <c r="AN52" s="146">
        <f>AVERAGE('Lab descriptors of grain qualit'!D51:M51)</f>
        <v>7.279000000000001</v>
      </c>
      <c r="AO52" s="147">
        <f>STDEV('Lab descriptors of grain qualit'!D51:M51)</f>
        <v>0.3197029871615232</v>
      </c>
      <c r="AP52" s="146">
        <f>AVERAGE('Lab descriptors of grain qualit'!N51:W51)</f>
        <v>3.4880000000000004</v>
      </c>
      <c r="AQ52" s="149">
        <f>STDEV('Lab descriptors of grain qualit'!N51:W51)</f>
        <v>0.10086294331086272</v>
      </c>
      <c r="AR52" s="382">
        <f t="shared" si="8"/>
        <v>2.0868692660550456</v>
      </c>
      <c r="AS52" s="147">
        <f>AVERAGE('Lab descriptors of grain qualit'!X51:AG51)</f>
        <v>2.0879896969016585</v>
      </c>
      <c r="AT52" s="381">
        <f>STDEV('Lab descriptors of grain qualit'!X51:AG51)</f>
        <v>0.10026304507762256</v>
      </c>
      <c r="AU52" s="126" t="s">
        <v>170</v>
      </c>
      <c r="AV52" s="146">
        <f>AVERAGE('Lab descriptors of grain qualit'!AI51:AR51)</f>
        <v>5.233</v>
      </c>
      <c r="AW52" s="147">
        <f>STDEV('Lab descriptors of grain qualit'!AI51:AR51)</f>
        <v>0.26633521067340465</v>
      </c>
      <c r="AX52" s="146">
        <f>AVERAGE('Lab descriptors of grain qualit'!AS51:BB51)</f>
        <v>3.07</v>
      </c>
      <c r="AY52" s="147">
        <f>STDEV('Lab descriptors of grain qualit'!AS51:BB51)</f>
        <v>0.07702813338861657</v>
      </c>
      <c r="AZ52" s="146">
        <f>AVERAGE('Lab descriptors of grain qualit'!BC51:BL51)</f>
        <v>1.7049547229536561</v>
      </c>
      <c r="BA52" s="147">
        <f>STDEV('Lab descriptors of grain qualit'!BC51:BL51)</f>
        <v>0.08420743465936407</v>
      </c>
      <c r="BB52" s="151" t="str">
        <f t="shared" si="9"/>
        <v>Medium</v>
      </c>
      <c r="BC52" s="133">
        <f>'Lab descriptors of grain qualit'!BM51</f>
        <v>29.04</v>
      </c>
      <c r="BD52" s="152">
        <f>'Lab descriptors of grain qualit'!BO51</f>
        <v>0.6945592286501379</v>
      </c>
      <c r="BE52" s="152">
        <f>'Lab descriptors of grain qualit'!BQ51</f>
        <v>0.5392561983471074</v>
      </c>
      <c r="BF52" s="126" t="s">
        <v>170</v>
      </c>
      <c r="BG52" s="386">
        <v>19.23</v>
      </c>
      <c r="BH52" s="153"/>
      <c r="BI52" s="154" t="str">
        <f t="shared" si="5"/>
        <v>High</v>
      </c>
      <c r="BJ52" s="154">
        <f>'Lab descriptors of grain qu (2)'!E51</f>
        <v>6</v>
      </c>
      <c r="BK52" s="155">
        <f>'Lab descriptors of grain qu (2)'!F51</f>
        <v>1</v>
      </c>
      <c r="BL52" s="154">
        <f>'Lab descriptors of grain qu (2)'!G51</f>
        <v>7</v>
      </c>
      <c r="BM52" s="156">
        <f>'Lab descriptors of grain qu (2)'!H51</f>
        <v>9</v>
      </c>
      <c r="BN52" s="157">
        <f>'Lab descriptors of grain qu (2)'!I51</f>
        <v>0</v>
      </c>
      <c r="BO52" s="158">
        <f>'Lab descriptors of grain qu (2)'!K51</f>
        <v>0</v>
      </c>
      <c r="BP52" s="140"/>
      <c r="BQ52" s="476" t="s">
        <v>170</v>
      </c>
      <c r="BR52" s="480">
        <v>5.5</v>
      </c>
      <c r="BS52" s="483"/>
    </row>
    <row r="53" spans="1:71" ht="21">
      <c r="A53" s="90">
        <v>1516</v>
      </c>
      <c r="B53" s="130" t="s">
        <v>171</v>
      </c>
      <c r="C53" s="127"/>
      <c r="D53" s="93"/>
      <c r="E53" s="128">
        <f>'Agronomic traits'!F52</f>
        <v>92</v>
      </c>
      <c r="F53" s="128">
        <f>'Agronomic traits'!H52</f>
        <v>129</v>
      </c>
      <c r="G53" s="129">
        <f>'Agronomic traits'!I52</f>
        <v>100</v>
      </c>
      <c r="H53" s="129">
        <f>'Agronomic traits'!J52</f>
        <v>9</v>
      </c>
      <c r="I53" s="129">
        <f>'Agronomic traits'!K52</f>
        <v>4</v>
      </c>
      <c r="J53" s="130">
        <f>'Agronomic traits'!L52</f>
        <v>2</v>
      </c>
      <c r="K53" s="191" t="s">
        <v>171</v>
      </c>
      <c r="L53" s="132">
        <f>'Field plant descriptors'!C52</f>
        <v>5</v>
      </c>
      <c r="M53" s="128"/>
      <c r="N53" s="128">
        <f>'Field plant descriptors'!E52</f>
        <v>6</v>
      </c>
      <c r="O53" s="128">
        <f>'Field plant descriptors'!F52</f>
        <v>3</v>
      </c>
      <c r="P53" s="133">
        <f>AVERAGE('Field plant descriptors'!G52:L52)</f>
        <v>21.3</v>
      </c>
      <c r="Q53" s="134">
        <f>STDEV('Field plant descriptors'!G52:L52)</f>
        <v>0.32249030993165434</v>
      </c>
      <c r="R53" s="135">
        <f>'Field plant descriptors'!M52</f>
        <v>9</v>
      </c>
      <c r="S53" s="136">
        <f>'Diseases (blast)'!C57</f>
        <v>5</v>
      </c>
      <c r="T53" s="137">
        <f>'Diseases (blast)'!D57</f>
        <v>1</v>
      </c>
      <c r="U53" s="138"/>
      <c r="V53" s="138"/>
      <c r="W53" s="138"/>
      <c r="X53" s="139"/>
      <c r="Y53" s="130" t="s">
        <v>171</v>
      </c>
      <c r="Z53" s="140"/>
      <c r="AA53" s="141"/>
      <c r="AB53" s="142"/>
      <c r="AC53" s="143"/>
      <c r="AD53" s="144">
        <f>'Field grain descriptors'!C52</f>
        <v>1</v>
      </c>
      <c r="AE53" s="145" t="str">
        <f t="shared" si="2"/>
        <v>Absent</v>
      </c>
      <c r="AF53" s="144">
        <f>'Field grain descriptors'!D52</f>
        <v>9</v>
      </c>
      <c r="AG53" s="146">
        <f>AVERAGE('Field grain descriptors'!E52:H52)</f>
        <v>3.2325</v>
      </c>
      <c r="AH53" s="147">
        <f>STDEV('Field grain descriptors'!E52:H52)</f>
        <v>0.15085865349171484</v>
      </c>
      <c r="AI53" s="148" t="str">
        <f t="shared" si="3"/>
        <v>Long</v>
      </c>
      <c r="AJ53" s="136">
        <f>'Field grain descriptors'!I52</f>
        <v>1</v>
      </c>
      <c r="AK53" s="130" t="s">
        <v>171</v>
      </c>
      <c r="AL53" s="144">
        <f>'Lab descriptors of grain qualit'!C52</f>
        <v>3</v>
      </c>
      <c r="AM53" s="149" t="str">
        <f t="shared" si="4"/>
        <v>Gold</v>
      </c>
      <c r="AN53" s="146">
        <f>AVERAGE('Lab descriptors of grain qualit'!D52:M52)</f>
        <v>9.453</v>
      </c>
      <c r="AO53" s="147">
        <f>STDEV('Lab descriptors of grain qualit'!D52:M52)</f>
        <v>0.3035365619565963</v>
      </c>
      <c r="AP53" s="146">
        <f>AVERAGE('Lab descriptors of grain qualit'!N52:W52)</f>
        <v>3.54</v>
      </c>
      <c r="AQ53" s="149">
        <f>STDEV('Lab descriptors of grain qualit'!N52:W52)</f>
        <v>0.20720360357227358</v>
      </c>
      <c r="AR53" s="382">
        <f t="shared" si="8"/>
        <v>2.670338983050847</v>
      </c>
      <c r="AS53" s="147">
        <f>AVERAGE('Lab descriptors of grain qualit'!X52:AG52)</f>
        <v>2.6773774588618204</v>
      </c>
      <c r="AT53" s="381">
        <f>STDEV('Lab descriptors of grain qualit'!X52:AG52)</f>
        <v>0.15744748722458013</v>
      </c>
      <c r="AU53" s="130" t="s">
        <v>171</v>
      </c>
      <c r="AV53" s="146">
        <f>AVERAGE('Lab descriptors of grain qualit'!AI52:AR52)</f>
        <v>6.716999999999999</v>
      </c>
      <c r="AW53" s="147">
        <f>STDEV('Lab descriptors of grain qualit'!AI52:AR52)</f>
        <v>0.3444496415378821</v>
      </c>
      <c r="AX53" s="146">
        <f>AVERAGE('Lab descriptors of grain qualit'!AS52:BB52)</f>
        <v>3.084</v>
      </c>
      <c r="AY53" s="147">
        <f>STDEV('Lab descriptors of grain qualit'!AS52:BB52)</f>
        <v>0.08514040691051239</v>
      </c>
      <c r="AZ53" s="146">
        <f>AVERAGE('Lab descriptors of grain qualit'!BC52:BL52)</f>
        <v>2.178455431618557</v>
      </c>
      <c r="BA53" s="147">
        <f>STDEV('Lab descriptors of grain qualit'!BC52:BL52)</f>
        <v>0.10512751430048757</v>
      </c>
      <c r="BB53" s="151" t="str">
        <f t="shared" si="9"/>
        <v>Long A</v>
      </c>
      <c r="BC53" s="133">
        <f>'Lab descriptors of grain qualit'!BM52</f>
        <v>35.94</v>
      </c>
      <c r="BD53" s="152">
        <f>'Lab descriptors of grain qualit'!BO52</f>
        <v>0.664440734557596</v>
      </c>
      <c r="BE53" s="152">
        <f>'Lab descriptors of grain qualit'!BQ52</f>
        <v>0.5308848080133556</v>
      </c>
      <c r="BF53" s="130" t="s">
        <v>171</v>
      </c>
      <c r="BG53" s="386">
        <v>16.47</v>
      </c>
      <c r="BH53" s="153"/>
      <c r="BI53" s="154" t="str">
        <f t="shared" si="5"/>
        <v>High</v>
      </c>
      <c r="BJ53" s="154">
        <f>'Lab descriptors of grain qu (2)'!E52</f>
        <v>6</v>
      </c>
      <c r="BK53" s="155">
        <f>'Lab descriptors of grain qu (2)'!F52</f>
        <v>0.88</v>
      </c>
      <c r="BL53" s="154">
        <f>'Lab descriptors of grain qu (2)'!G52</f>
        <v>7</v>
      </c>
      <c r="BM53" s="156">
        <f>'Lab descriptors of grain qu (2)'!H52</f>
        <v>9</v>
      </c>
      <c r="BN53" s="157">
        <f>'Lab descriptors of grain qu (2)'!I52</f>
        <v>0</v>
      </c>
      <c r="BO53" s="158">
        <f>'Lab descriptors of grain qu (2)'!K52</f>
        <v>0</v>
      </c>
      <c r="BP53" s="140"/>
      <c r="BQ53" s="478" t="s">
        <v>171</v>
      </c>
      <c r="BR53" s="480">
        <v>1.5</v>
      </c>
      <c r="BS53" s="483"/>
    </row>
    <row r="54" spans="1:71" ht="21">
      <c r="A54" s="90">
        <v>1530</v>
      </c>
      <c r="B54" s="159" t="s">
        <v>172</v>
      </c>
      <c r="C54" s="160"/>
      <c r="D54" s="161"/>
      <c r="E54" s="162">
        <f>'Agronomic traits'!F53</f>
        <v>91</v>
      </c>
      <c r="F54" s="162">
        <f>'Agronomic traits'!H53</f>
        <v>147</v>
      </c>
      <c r="G54" s="163">
        <f>'Agronomic traits'!I53</f>
        <v>90</v>
      </c>
      <c r="H54" s="163">
        <f>'Agronomic traits'!J53</f>
        <v>9</v>
      </c>
      <c r="I54" s="163">
        <f>'Agronomic traits'!K53</f>
        <v>2</v>
      </c>
      <c r="J54" s="159">
        <f>'Agronomic traits'!L53</f>
        <v>2</v>
      </c>
      <c r="K54" s="164" t="s">
        <v>172</v>
      </c>
      <c r="L54" s="165">
        <f>'Field plant descriptors'!C53</f>
        <v>5</v>
      </c>
      <c r="M54" s="162"/>
      <c r="N54" s="162">
        <f>'Field plant descriptors'!E53</f>
        <v>5</v>
      </c>
      <c r="O54" s="162">
        <f>'Field plant descriptors'!F53</f>
        <v>3</v>
      </c>
      <c r="P54" s="166">
        <f>AVERAGE('Field plant descriptors'!G53:L53)</f>
        <v>15.583333333333334</v>
      </c>
      <c r="Q54" s="167">
        <f>STDEV('Field plant descriptors'!G53:L53)</f>
        <v>2.1600154320436404</v>
      </c>
      <c r="R54" s="168">
        <f>'Field plant descriptors'!M53</f>
        <v>1</v>
      </c>
      <c r="S54" s="169" t="str">
        <f>'Diseases (blast)'!C58</f>
        <v>3-4</v>
      </c>
      <c r="T54" s="170">
        <f>'Diseases (blast)'!D58</f>
        <v>1</v>
      </c>
      <c r="U54" s="171"/>
      <c r="V54" s="171"/>
      <c r="W54" s="171"/>
      <c r="X54" s="172"/>
      <c r="Y54" s="159" t="s">
        <v>172</v>
      </c>
      <c r="Z54" s="173"/>
      <c r="AA54" s="174"/>
      <c r="AB54" s="175"/>
      <c r="AC54" s="176"/>
      <c r="AD54" s="177">
        <f>'Field grain descriptors'!C53</f>
        <v>1</v>
      </c>
      <c r="AE54" s="178" t="str">
        <f t="shared" si="2"/>
        <v>Absent</v>
      </c>
      <c r="AF54" s="177">
        <f>'Field grain descriptors'!D53</f>
        <v>9</v>
      </c>
      <c r="AG54" s="179">
        <f>AVERAGE('Field grain descriptors'!E53:H53)</f>
        <v>3.07</v>
      </c>
      <c r="AH54" s="180">
        <f>STDEV('Field grain descriptors'!E53:H53)</f>
        <v>0.19782146833277348</v>
      </c>
      <c r="AI54" s="181" t="str">
        <f t="shared" si="3"/>
        <v>Long</v>
      </c>
      <c r="AJ54" s="169">
        <f>'Field grain descriptors'!I53</f>
        <v>2</v>
      </c>
      <c r="AK54" s="159" t="s">
        <v>172</v>
      </c>
      <c r="AL54" s="177">
        <f>'Lab descriptors of grain qualit'!C53</f>
        <v>3</v>
      </c>
      <c r="AM54" s="182" t="str">
        <f t="shared" si="4"/>
        <v>Gold</v>
      </c>
      <c r="AN54" s="179">
        <f>AVERAGE('Lab descriptors of grain qualit'!D53:M53)</f>
        <v>8.983999999999998</v>
      </c>
      <c r="AO54" s="180">
        <f>STDEV('Lab descriptors of grain qualit'!D53:M53)</f>
        <v>0.3556277704442328</v>
      </c>
      <c r="AP54" s="179">
        <f>AVERAGE('Lab descriptors of grain qualit'!N53:W53)</f>
        <v>3.621000000000001</v>
      </c>
      <c r="AQ54" s="182">
        <f>STDEV('Lab descriptors of grain qualit'!N53:W53)</f>
        <v>0.160447291449016</v>
      </c>
      <c r="AR54" s="383">
        <f t="shared" si="8"/>
        <v>2.481082573874619</v>
      </c>
      <c r="AS54" s="180">
        <f>AVERAGE('Lab descriptors of grain qualit'!X53:AG53)</f>
        <v>2.483097757428575</v>
      </c>
      <c r="AT54" s="384">
        <f>STDEV('Lab descriptors of grain qualit'!X53:AG53)</f>
        <v>0.09120575298297666</v>
      </c>
      <c r="AU54" s="159" t="s">
        <v>172</v>
      </c>
      <c r="AV54" s="179">
        <f>AVERAGE('Lab descriptors of grain qualit'!AI53:AR53)</f>
        <v>6.473000000000001</v>
      </c>
      <c r="AW54" s="180">
        <f>STDEV('Lab descriptors of grain qualit'!AI53:AR53)</f>
        <v>0.21396001703327025</v>
      </c>
      <c r="AX54" s="179">
        <f>AVERAGE('Lab descriptors of grain qualit'!AS53:BB53)</f>
        <v>3.1027</v>
      </c>
      <c r="AY54" s="180">
        <f>STDEV('Lab descriptors of grain qualit'!AS53:BB53)</f>
        <v>0.09049008539920103</v>
      </c>
      <c r="AZ54" s="179">
        <f>AVERAGE('Lab descriptors of grain qualit'!BC53:BL53)</f>
        <v>2.086480859776437</v>
      </c>
      <c r="BA54" s="180">
        <f>STDEV('Lab descriptors of grain qualit'!BC53:BL53)</f>
        <v>0.04481311817573041</v>
      </c>
      <c r="BB54" s="183" t="str">
        <f t="shared" si="9"/>
        <v>Long A</v>
      </c>
      <c r="BC54" s="166">
        <f>'Lab descriptors of grain qualit'!BM53</f>
        <v>35.62</v>
      </c>
      <c r="BD54" s="184">
        <f>'Lab descriptors of grain qualit'!BO53</f>
        <v>0.6552498596294217</v>
      </c>
      <c r="BE54" s="184">
        <f>'Lab descriptors of grain qualit'!BQ53</f>
        <v>0.5783267827063449</v>
      </c>
      <c r="BF54" s="159" t="s">
        <v>172</v>
      </c>
      <c r="BG54" s="386">
        <v>21.04</v>
      </c>
      <c r="BH54" s="185"/>
      <c r="BI54" s="186" t="str">
        <f t="shared" si="5"/>
        <v>High</v>
      </c>
      <c r="BJ54" s="186">
        <f>'Lab descriptors of grain qu (2)'!E53</f>
        <v>7</v>
      </c>
      <c r="BK54" s="187">
        <f>'Lab descriptors of grain qu (2)'!F53</f>
        <v>0.97</v>
      </c>
      <c r="BL54" s="186">
        <f>'Lab descriptors of grain qu (2)'!G53</f>
        <v>7</v>
      </c>
      <c r="BM54" s="188">
        <f>'Lab descriptors of grain qu (2)'!H53</f>
        <v>9</v>
      </c>
      <c r="BN54" s="189">
        <f>'Lab descriptors of grain qu (2)'!I53</f>
        <v>0</v>
      </c>
      <c r="BO54" s="190">
        <f>'Lab descriptors of grain qu (2)'!K53</f>
        <v>0</v>
      </c>
      <c r="BP54" s="173"/>
      <c r="BQ54" s="477" t="s">
        <v>172</v>
      </c>
      <c r="BR54" s="480">
        <v>1</v>
      </c>
      <c r="BS54" s="483"/>
    </row>
    <row r="55" spans="1:71" ht="21">
      <c r="A55" s="194">
        <v>1634</v>
      </c>
      <c r="B55" s="130" t="s">
        <v>173</v>
      </c>
      <c r="C55" s="127"/>
      <c r="D55" s="93"/>
      <c r="E55" s="128">
        <f>'Agronomic traits'!F54</f>
        <v>96</v>
      </c>
      <c r="F55" s="128">
        <f>'Agronomic traits'!H54</f>
        <v>121</v>
      </c>
      <c r="G55" s="129">
        <f>'Agronomic traits'!I54</f>
        <v>60</v>
      </c>
      <c r="H55" s="129">
        <f>'Agronomic traits'!J54</f>
        <v>0</v>
      </c>
      <c r="I55" s="129">
        <f>'Agronomic traits'!K54</f>
        <v>0</v>
      </c>
      <c r="J55" s="130">
        <f>'Agronomic traits'!L54</f>
        <v>0</v>
      </c>
      <c r="K55" s="191" t="s">
        <v>173</v>
      </c>
      <c r="L55" s="132">
        <f>'Field plant descriptors'!C54</f>
        <v>0</v>
      </c>
      <c r="M55" s="128"/>
      <c r="N55" s="128">
        <f>'Field plant descriptors'!E54</f>
        <v>0</v>
      </c>
      <c r="O55" s="128">
        <f>'Field plant descriptors'!F54</f>
        <v>0</v>
      </c>
      <c r="P55" s="133">
        <f>AVERAGE('Field plant descriptors'!G54:L54)</f>
        <v>18.11666666666667</v>
      </c>
      <c r="Q55" s="134">
        <f>STDEV('Field plant descriptors'!G54:L54)</f>
        <v>1.764558490576749</v>
      </c>
      <c r="R55" s="135">
        <f>'Field plant descriptors'!M54</f>
        <v>0</v>
      </c>
      <c r="S55" s="136">
        <f>'Diseases (blast)'!C59</f>
        <v>4</v>
      </c>
      <c r="T55" s="137">
        <f>'Diseases (blast)'!D59</f>
        <v>1</v>
      </c>
      <c r="U55" s="138"/>
      <c r="V55" s="138"/>
      <c r="W55" s="138"/>
      <c r="X55" s="139"/>
      <c r="Y55" s="130" t="s">
        <v>173</v>
      </c>
      <c r="Z55" s="140"/>
      <c r="AA55" s="141"/>
      <c r="AB55" s="142"/>
      <c r="AC55" s="143"/>
      <c r="AD55" s="144">
        <f>'Field grain descriptors'!C54</f>
        <v>1</v>
      </c>
      <c r="AE55" s="145" t="str">
        <f t="shared" si="2"/>
        <v>Absent</v>
      </c>
      <c r="AF55" s="144">
        <f>'Field grain descriptors'!D54</f>
        <v>9</v>
      </c>
      <c r="AG55" s="146">
        <f>AVERAGE('Field grain descriptors'!E54:H54)</f>
        <v>3.56</v>
      </c>
      <c r="AH55" s="147">
        <f>STDEV('Field grain descriptors'!E54:H54)</f>
        <v>0.39217343102255053</v>
      </c>
      <c r="AI55" s="148" t="str">
        <f t="shared" si="3"/>
        <v>Long</v>
      </c>
      <c r="AJ55" s="136">
        <f>'Field grain descriptors'!I54</f>
        <v>1</v>
      </c>
      <c r="AK55" s="130" t="s">
        <v>173</v>
      </c>
      <c r="AL55" s="144">
        <f>'Lab descriptors of grain qualit'!C54</f>
        <v>3</v>
      </c>
      <c r="AM55" s="149" t="str">
        <f t="shared" si="4"/>
        <v>Gold</v>
      </c>
      <c r="AN55" s="146">
        <f>AVERAGE('Lab descriptors of grain qualit'!D54:M54)</f>
        <v>10.621999999999998</v>
      </c>
      <c r="AO55" s="147">
        <f>STDEV('Lab descriptors of grain qualit'!D54:M54)</f>
        <v>0.5457879115961255</v>
      </c>
      <c r="AP55" s="146">
        <f>AVERAGE('Lab descriptors of grain qualit'!N54:W54)</f>
        <v>3.225</v>
      </c>
      <c r="AQ55" s="149">
        <f>STDEV('Lab descriptors of grain qualit'!N54:W54)</f>
        <v>0.1256317369669569</v>
      </c>
      <c r="AR55" s="382">
        <f t="shared" si="8"/>
        <v>3.2936434108527126</v>
      </c>
      <c r="AS55" s="147">
        <f>AVERAGE('Lab descriptors of grain qualit'!X54:AG54)</f>
        <v>3.297728934980916</v>
      </c>
      <c r="AT55" s="381">
        <f>STDEV('Lab descriptors of grain qualit'!X54:AG54)</f>
        <v>0.20854202548172848</v>
      </c>
      <c r="AU55" s="130" t="s">
        <v>173</v>
      </c>
      <c r="AV55" s="146"/>
      <c r="AW55" s="147"/>
      <c r="AX55" s="146"/>
      <c r="AY55" s="147"/>
      <c r="AZ55" s="146"/>
      <c r="BA55" s="147"/>
      <c r="BB55" s="151"/>
      <c r="BC55" s="133"/>
      <c r="BD55" s="152"/>
      <c r="BE55" s="152"/>
      <c r="BF55" s="130" t="s">
        <v>173</v>
      </c>
      <c r="BG55" s="389"/>
      <c r="BH55" s="153"/>
      <c r="BI55" s="154"/>
      <c r="BJ55" s="154"/>
      <c r="BK55" s="155"/>
      <c r="BL55" s="154"/>
      <c r="BM55" s="156"/>
      <c r="BN55" s="157"/>
      <c r="BO55" s="158"/>
      <c r="BP55" s="140"/>
      <c r="BQ55" s="478" t="s">
        <v>173</v>
      </c>
      <c r="BR55" s="480">
        <v>1</v>
      </c>
      <c r="BS55" s="483"/>
    </row>
    <row r="56" spans="1:71" ht="21">
      <c r="A56" s="194">
        <v>1635</v>
      </c>
      <c r="B56" s="130" t="s">
        <v>174</v>
      </c>
      <c r="C56" s="127"/>
      <c r="D56" s="93"/>
      <c r="E56" s="128">
        <f>'Agronomic traits'!F55</f>
        <v>86</v>
      </c>
      <c r="F56" s="128">
        <f>'Agronomic traits'!H55</f>
        <v>121</v>
      </c>
      <c r="G56" s="129">
        <f>'Agronomic traits'!I55</f>
        <v>97</v>
      </c>
      <c r="H56" s="129">
        <f>'Agronomic traits'!J55</f>
        <v>7</v>
      </c>
      <c r="I56" s="129">
        <f>'Agronomic traits'!K55</f>
        <v>1</v>
      </c>
      <c r="J56" s="130">
        <f>'Agronomic traits'!L55</f>
        <v>2</v>
      </c>
      <c r="K56" s="191" t="s">
        <v>174</v>
      </c>
      <c r="L56" s="132">
        <f>'Field plant descriptors'!C55</f>
        <v>6</v>
      </c>
      <c r="M56" s="128"/>
      <c r="N56" s="128">
        <f>'Field plant descriptors'!E55</f>
        <v>5</v>
      </c>
      <c r="O56" s="128">
        <f>'Field plant descriptors'!F55</f>
        <v>5</v>
      </c>
      <c r="P56" s="133">
        <f>AVERAGE('Field plant descriptors'!G55:L55)</f>
        <v>20</v>
      </c>
      <c r="Q56" s="134">
        <f>STDEV('Field plant descriptors'!G55:L55)</f>
        <v>0.5656854249492219</v>
      </c>
      <c r="R56" s="135">
        <f>'Field plant descriptors'!M55</f>
        <v>5</v>
      </c>
      <c r="S56" s="136">
        <f>'Diseases (blast)'!C60</f>
        <v>5</v>
      </c>
      <c r="T56" s="137">
        <f>'Diseases (blast)'!D60</f>
        <v>1</v>
      </c>
      <c r="U56" s="138"/>
      <c r="V56" s="138"/>
      <c r="W56" s="138"/>
      <c r="X56" s="139"/>
      <c r="Y56" s="130" t="s">
        <v>174</v>
      </c>
      <c r="Z56" s="140"/>
      <c r="AA56" s="141"/>
      <c r="AB56" s="142"/>
      <c r="AC56" s="143"/>
      <c r="AD56" s="144">
        <f>'Field grain descriptors'!C55</f>
        <v>0</v>
      </c>
      <c r="AE56" s="145" t="str">
        <f t="shared" si="2"/>
        <v>?</v>
      </c>
      <c r="AF56" s="144">
        <f>'Field grain descriptors'!D55</f>
        <v>5</v>
      </c>
      <c r="AG56" s="146">
        <f>AVERAGE('Field grain descriptors'!E55:H55)</f>
        <v>2.5425</v>
      </c>
      <c r="AH56" s="147">
        <f>STDEV('Field grain descriptors'!E55:H55)</f>
        <v>0.3734858319490405</v>
      </c>
      <c r="AI56" s="148" t="str">
        <f t="shared" si="3"/>
        <v>Long</v>
      </c>
      <c r="AJ56" s="136">
        <f>'Field grain descriptors'!I55</f>
        <v>1</v>
      </c>
      <c r="AK56" s="130" t="s">
        <v>174</v>
      </c>
      <c r="AL56" s="144">
        <f>'Lab descriptors of grain qualit'!C55</f>
        <v>3</v>
      </c>
      <c r="AM56" s="149" t="str">
        <f t="shared" si="4"/>
        <v>Gold</v>
      </c>
      <c r="AN56" s="146">
        <f>AVERAGE('Lab descriptors of grain qualit'!D55:M55)</f>
        <v>11.618000000000002</v>
      </c>
      <c r="AO56" s="147">
        <f>STDEV('Lab descriptors of grain qualit'!D55:M55)</f>
        <v>0.8299103030515317</v>
      </c>
      <c r="AP56" s="146">
        <f>AVERAGE('Lab descriptors of grain qualit'!N55:W55)</f>
        <v>2.7150000000000003</v>
      </c>
      <c r="AQ56" s="149">
        <f>STDEV('Lab descriptors of grain qualit'!N55:W55)</f>
        <v>0.13753787357184427</v>
      </c>
      <c r="AR56" s="382">
        <f t="shared" si="8"/>
        <v>4.279189686924494</v>
      </c>
      <c r="AS56" s="147">
        <f>AVERAGE('Lab descriptors of grain qualit'!X55:AG55)</f>
        <v>4.286932907480658</v>
      </c>
      <c r="AT56" s="381">
        <f>STDEV('Lab descriptors of grain qualit'!X55:AG55)</f>
        <v>0.34568933845175054</v>
      </c>
      <c r="AU56" s="130" t="s">
        <v>174</v>
      </c>
      <c r="AV56" s="146">
        <f>AVERAGE('Lab descriptors of grain qualit'!AI55:AR55)</f>
        <v>8.084</v>
      </c>
      <c r="AW56" s="147">
        <f>STDEV('Lab descriptors of grain qualit'!AI55:AR55)</f>
        <v>0.3071807285622157</v>
      </c>
      <c r="AX56" s="146">
        <f>AVERAGE('Lab descriptors of grain qualit'!AS55:BB55)</f>
        <v>2.244</v>
      </c>
      <c r="AY56" s="147">
        <f>STDEV('Lab descriptors of grain qualit'!AS55:BB55)</f>
        <v>0.06850790708620794</v>
      </c>
      <c r="AZ56" s="146">
        <f>AVERAGE('Lab descriptors of grain qualit'!BC55:BL55)</f>
        <v>3.604380596445965</v>
      </c>
      <c r="BA56" s="147">
        <f>STDEV('Lab descriptors of grain qualit'!BC55:BL55)</f>
        <v>0.14556724708169128</v>
      </c>
      <c r="BB56" s="151" t="str">
        <f aca="true" t="shared" si="10" ref="BB56:BB87">IF(AND(AV56&lt;=5.2,AZ56&lt;2),"Round",IF(AND(AV56&gt;6,AZ56&lt;3),"Long A",IF(AND(AV56&gt;6,AZ56&gt;3),"Long B","Medium")))</f>
        <v>Long B</v>
      </c>
      <c r="BC56" s="133">
        <f>'Lab descriptors of grain qualit'!BM55</f>
        <v>28.91</v>
      </c>
      <c r="BD56" s="152">
        <f>'Lab descriptors of grain qualit'!BO55</f>
        <v>0.7011414735385679</v>
      </c>
      <c r="BE56" s="152">
        <f>'Lab descriptors of grain qualit'!BQ55</f>
        <v>0.6395710826703563</v>
      </c>
      <c r="BF56" s="130" t="s">
        <v>174</v>
      </c>
      <c r="BG56" s="386">
        <v>18.57</v>
      </c>
      <c r="BH56" s="153"/>
      <c r="BI56" s="154" t="str">
        <f t="shared" si="5"/>
        <v>Low or intermediate</v>
      </c>
      <c r="BJ56" s="154">
        <f>'Lab descriptors of grain qu (2)'!E55</f>
        <v>3</v>
      </c>
      <c r="BK56" s="155">
        <f>'Lab descriptors of grain qu (2)'!F55</f>
        <v>0.65</v>
      </c>
      <c r="BL56" s="154">
        <f>'Lab descriptors of grain qu (2)'!G55</f>
        <v>3</v>
      </c>
      <c r="BM56" s="156">
        <f>'Lab descriptors of grain qu (2)'!H55</f>
        <v>1</v>
      </c>
      <c r="BN56" s="157">
        <f>'Lab descriptors of grain qu (2)'!I55</f>
        <v>0</v>
      </c>
      <c r="BO56" s="158">
        <f>'Lab descriptors of grain qu (2)'!K55</f>
        <v>0</v>
      </c>
      <c r="BP56" s="140"/>
      <c r="BQ56" s="478" t="s">
        <v>174</v>
      </c>
      <c r="BR56" s="480">
        <v>1</v>
      </c>
      <c r="BS56" s="483"/>
    </row>
    <row r="57" spans="1:71" ht="21">
      <c r="A57" s="194">
        <v>1636</v>
      </c>
      <c r="B57" s="130" t="s">
        <v>175</v>
      </c>
      <c r="C57" s="127"/>
      <c r="D57" s="93"/>
      <c r="E57" s="128">
        <f>'Agronomic traits'!F56</f>
        <v>95</v>
      </c>
      <c r="F57" s="128">
        <f>'Agronomic traits'!H56</f>
        <v>157</v>
      </c>
      <c r="G57" s="129">
        <f>'Agronomic traits'!I56</f>
        <v>45</v>
      </c>
      <c r="H57" s="129">
        <f>'Agronomic traits'!J56</f>
        <v>9</v>
      </c>
      <c r="I57" s="129">
        <f>'Agronomic traits'!K56</f>
        <v>8</v>
      </c>
      <c r="J57" s="130">
        <f>'Agronomic traits'!L56</f>
        <v>1</v>
      </c>
      <c r="K57" s="191" t="s">
        <v>175</v>
      </c>
      <c r="L57" s="132">
        <f>'Field plant descriptors'!C56</f>
        <v>2</v>
      </c>
      <c r="M57" s="128"/>
      <c r="N57" s="128">
        <f>'Field plant descriptors'!E56</f>
        <v>2</v>
      </c>
      <c r="O57" s="128">
        <f>'Field plant descriptors'!F56</f>
        <v>3</v>
      </c>
      <c r="P57" s="133">
        <f>AVERAGE('Field plant descriptors'!G56:L56)</f>
        <v>17.316666666666666</v>
      </c>
      <c r="Q57" s="134">
        <f>STDEV('Field plant descriptors'!G56:L56)</f>
        <v>1.0381072520055783</v>
      </c>
      <c r="R57" s="135">
        <f>'Field plant descriptors'!M56</f>
        <v>5</v>
      </c>
      <c r="S57" s="136">
        <f>'Diseases (blast)'!C62</f>
        <v>2</v>
      </c>
      <c r="T57" s="137">
        <f>'Diseases (blast)'!D62</f>
        <v>1</v>
      </c>
      <c r="U57" s="138"/>
      <c r="V57" s="138"/>
      <c r="W57" s="138"/>
      <c r="X57" s="139"/>
      <c r="Y57" s="130" t="s">
        <v>175</v>
      </c>
      <c r="Z57" s="140"/>
      <c r="AA57" s="141"/>
      <c r="AB57" s="142"/>
      <c r="AC57" s="143"/>
      <c r="AD57" s="144">
        <f>'Field grain descriptors'!C56</f>
        <v>1</v>
      </c>
      <c r="AE57" s="145" t="str">
        <f t="shared" si="2"/>
        <v>Absent</v>
      </c>
      <c r="AF57" s="144">
        <f>'Field grain descriptors'!D56</f>
        <v>1</v>
      </c>
      <c r="AG57" s="146">
        <f>AVERAGE('Field grain descriptors'!E56:H56)</f>
        <v>2.2674999999999996</v>
      </c>
      <c r="AH57" s="147">
        <f>STDEV('Field grain descriptors'!E56:H56)</f>
        <v>0.3926300209272543</v>
      </c>
      <c r="AI57" s="148" t="str">
        <f t="shared" si="3"/>
        <v>Medium</v>
      </c>
      <c r="AJ57" s="136">
        <f>'Field grain descriptors'!I56</f>
        <v>1</v>
      </c>
      <c r="AK57" s="130" t="s">
        <v>175</v>
      </c>
      <c r="AL57" s="144">
        <f>'Lab descriptors of grain qualit'!C56</f>
        <v>3</v>
      </c>
      <c r="AM57" s="149" t="str">
        <f t="shared" si="4"/>
        <v>Gold</v>
      </c>
      <c r="AN57" s="146">
        <f>AVERAGE('Lab descriptors of grain qualit'!D56:M56)</f>
        <v>10.365000000000002</v>
      </c>
      <c r="AO57" s="147">
        <f>STDEV('Lab descriptors of grain qualit'!D56:M56)</f>
        <v>0.5854770134969417</v>
      </c>
      <c r="AP57" s="146">
        <f>AVERAGE('Lab descriptors of grain qualit'!N56:W56)</f>
        <v>2.6420000000000003</v>
      </c>
      <c r="AQ57" s="149">
        <f>STDEV('Lab descriptors of grain qualit'!N56:W56)</f>
        <v>0.08310635755864727</v>
      </c>
      <c r="AR57" s="382">
        <f t="shared" si="8"/>
        <v>3.923164269492809</v>
      </c>
      <c r="AS57" s="147">
        <f>AVERAGE('Lab descriptors of grain qualit'!X56:AG56)</f>
        <v>3.921544797951391</v>
      </c>
      <c r="AT57" s="381">
        <f>STDEV('Lab descriptors of grain qualit'!X56:AG56)</f>
        <v>0.1458602247629481</v>
      </c>
      <c r="AU57" s="130" t="s">
        <v>175</v>
      </c>
      <c r="AV57" s="146">
        <f>AVERAGE('Lab descriptors of grain qualit'!AI56:AR56)</f>
        <v>7.928999999999999</v>
      </c>
      <c r="AW57" s="147">
        <f>STDEV('Lab descriptors of grain qualit'!AI56:AR56)</f>
        <v>0.31345564988438235</v>
      </c>
      <c r="AX57" s="146">
        <f>AVERAGE('Lab descriptors of grain qualit'!AS56:BB56)</f>
        <v>2.243</v>
      </c>
      <c r="AY57" s="147">
        <f>STDEV('Lab descriptors of grain qualit'!AS56:BB56)</f>
        <v>0.07587270040446852</v>
      </c>
      <c r="AZ57" s="146">
        <f>AVERAGE('Lab descriptors of grain qualit'!BC56:BL56)</f>
        <v>3.5383907228974416</v>
      </c>
      <c r="BA57" s="147">
        <f>STDEV('Lab descriptors of grain qualit'!BC56:BL56)</f>
        <v>0.17781608564140453</v>
      </c>
      <c r="BB57" s="151" t="str">
        <f t="shared" si="10"/>
        <v>Long B</v>
      </c>
      <c r="BC57" s="133">
        <f>'Lab descriptors of grain qualit'!BM56</f>
        <v>26.28</v>
      </c>
      <c r="BD57" s="152">
        <f>'Lab descriptors of grain qualit'!BO56</f>
        <v>0.6818873668188737</v>
      </c>
      <c r="BE57" s="152">
        <f>'Lab descriptors of grain qualit'!BQ56</f>
        <v>0.5669710806697108</v>
      </c>
      <c r="BF57" s="130" t="s">
        <v>175</v>
      </c>
      <c r="BG57" s="386">
        <v>18.76</v>
      </c>
      <c r="BH57" s="153"/>
      <c r="BI57" s="154" t="str">
        <f t="shared" si="5"/>
        <v>Intermediate</v>
      </c>
      <c r="BJ57" s="154">
        <f>'Lab descriptors of grain qu (2)'!E56</f>
        <v>5</v>
      </c>
      <c r="BK57" s="155">
        <f>'Lab descriptors of grain qu (2)'!F56</f>
        <v>0.25</v>
      </c>
      <c r="BL57" s="154">
        <f>'Lab descriptors of grain qu (2)'!G56</f>
        <v>1</v>
      </c>
      <c r="BM57" s="156">
        <f>'Lab descriptors of grain qu (2)'!H56</f>
        <v>1</v>
      </c>
      <c r="BN57" s="157">
        <f>'Lab descriptors of grain qu (2)'!I56</f>
        <v>0</v>
      </c>
      <c r="BO57" s="158">
        <f>'Lab descriptors of grain qu (2)'!K56</f>
        <v>0</v>
      </c>
      <c r="BP57" s="140"/>
      <c r="BQ57" s="478" t="s">
        <v>175</v>
      </c>
      <c r="BR57" s="480">
        <v>3.5</v>
      </c>
      <c r="BS57" s="483"/>
    </row>
    <row r="58" spans="1:71" ht="21">
      <c r="A58" s="194">
        <v>1638</v>
      </c>
      <c r="B58" s="130" t="s">
        <v>176</v>
      </c>
      <c r="C58" s="127"/>
      <c r="D58" s="93"/>
      <c r="E58" s="128">
        <f>'Agronomic traits'!F57</f>
        <v>95</v>
      </c>
      <c r="F58" s="128">
        <f>'Agronomic traits'!H57</f>
        <v>138</v>
      </c>
      <c r="G58" s="129">
        <f>'Agronomic traits'!I57</f>
        <v>68</v>
      </c>
      <c r="H58" s="129">
        <f>'Agronomic traits'!J57</f>
        <v>9</v>
      </c>
      <c r="I58" s="129">
        <f>'Agronomic traits'!K57</f>
        <v>6</v>
      </c>
      <c r="J58" s="130">
        <f>'Agronomic traits'!L57</f>
        <v>4</v>
      </c>
      <c r="K58" s="191" t="s">
        <v>176</v>
      </c>
      <c r="L58" s="132">
        <f>'Field plant descriptors'!C57</f>
        <v>2</v>
      </c>
      <c r="M58" s="128"/>
      <c r="N58" s="128">
        <f>'Field plant descriptors'!E57</f>
        <v>2</v>
      </c>
      <c r="O58" s="128">
        <f>'Field plant descriptors'!F57</f>
        <v>3</v>
      </c>
      <c r="P58" s="133">
        <f>AVERAGE('Field plant descriptors'!G57:L57)</f>
        <v>19.03333333333333</v>
      </c>
      <c r="Q58" s="134">
        <f>STDEV('Field plant descriptors'!G57:L57)</f>
        <v>2.160246899469315</v>
      </c>
      <c r="R58" s="135">
        <f>'Field plant descriptors'!M57</f>
        <v>5</v>
      </c>
      <c r="S58" s="136">
        <f>'Diseases (blast)'!C63</f>
        <v>3</v>
      </c>
      <c r="T58" s="137">
        <f>'Diseases (blast)'!D63</f>
        <v>1</v>
      </c>
      <c r="U58" s="138"/>
      <c r="V58" s="138"/>
      <c r="W58" s="138"/>
      <c r="X58" s="139"/>
      <c r="Y58" s="130" t="s">
        <v>176</v>
      </c>
      <c r="Z58" s="140"/>
      <c r="AA58" s="141"/>
      <c r="AB58" s="142"/>
      <c r="AC58" s="143"/>
      <c r="AD58" s="144">
        <f>'Field grain descriptors'!C57</f>
        <v>9</v>
      </c>
      <c r="AE58" s="145" t="str">
        <f t="shared" si="2"/>
        <v>Present</v>
      </c>
      <c r="AF58" s="144">
        <f>'Field grain descriptors'!D57</f>
        <v>1</v>
      </c>
      <c r="AG58" s="146">
        <f>AVERAGE('Field grain descriptors'!E57:H57)</f>
        <v>2.495</v>
      </c>
      <c r="AH58" s="147">
        <f>STDEV('Field grain descriptors'!E57:H57)</f>
        <v>0.40045807104697734</v>
      </c>
      <c r="AI58" s="148" t="str">
        <f t="shared" si="3"/>
        <v>Medium</v>
      </c>
      <c r="AJ58" s="136">
        <f>'Field grain descriptors'!I57</f>
        <v>1</v>
      </c>
      <c r="AK58" s="130" t="s">
        <v>176</v>
      </c>
      <c r="AL58" s="144">
        <f>'Lab descriptors of grain qualit'!C57</f>
        <v>3</v>
      </c>
      <c r="AM58" s="149" t="str">
        <f t="shared" si="4"/>
        <v>Gold</v>
      </c>
      <c r="AN58" s="146">
        <f>AVERAGE('Lab descriptors of grain qualit'!D57:M57)</f>
        <v>10.316999999999998</v>
      </c>
      <c r="AO58" s="147">
        <f>STDEV('Lab descriptors of grain qualit'!D57:M57)</f>
        <v>0.6114654528262602</v>
      </c>
      <c r="AP58" s="146">
        <f>AVERAGE('Lab descriptors of grain qualit'!N57:W57)</f>
        <v>2.673</v>
      </c>
      <c r="AQ58" s="149">
        <f>STDEV('Lab descriptors of grain qualit'!N57:W57)</f>
        <v>0.21271002692763746</v>
      </c>
      <c r="AR58" s="382">
        <f t="shared" si="8"/>
        <v>3.859708193041526</v>
      </c>
      <c r="AS58" s="147">
        <f>AVERAGE('Lab descriptors of grain qualit'!X57:AG57)</f>
        <v>3.8742366492708853</v>
      </c>
      <c r="AT58" s="381">
        <f>STDEV('Lab descriptors of grain qualit'!X57:AG57)</f>
        <v>0.2905052716231505</v>
      </c>
      <c r="AU58" s="130" t="s">
        <v>176</v>
      </c>
      <c r="AV58" s="146">
        <f>AVERAGE('Lab descriptors of grain qualit'!AI57:AR57)</f>
        <v>7.632000000000001</v>
      </c>
      <c r="AW58" s="147">
        <f>STDEV('Lab descriptors of grain qualit'!AI57:AR57)</f>
        <v>0.24008331887071938</v>
      </c>
      <c r="AX58" s="146">
        <f>AVERAGE('Lab descriptors of grain qualit'!AS57:BB57)</f>
        <v>2.122</v>
      </c>
      <c r="AY58" s="147">
        <f>STDEV('Lab descriptors of grain qualit'!AS57:BB57)</f>
        <v>0.08080154013934153</v>
      </c>
      <c r="AZ58" s="146">
        <f>AVERAGE('Lab descriptors of grain qualit'!BC57:BL57)</f>
        <v>3.6018637894168783</v>
      </c>
      <c r="BA58" s="147">
        <f>STDEV('Lab descriptors of grain qualit'!BC57:BL57)</f>
        <v>0.19027256804588338</v>
      </c>
      <c r="BB58" s="151" t="str">
        <f t="shared" si="10"/>
        <v>Long B</v>
      </c>
      <c r="BC58" s="133">
        <f>'Lab descriptors of grain qualit'!BM57</f>
        <v>23.64</v>
      </c>
      <c r="BD58" s="152">
        <f>'Lab descriptors of grain qualit'!BO57</f>
        <v>0.6738578680203046</v>
      </c>
      <c r="BE58" s="152">
        <f>'Lab descriptors of grain qualit'!BQ57</f>
        <v>0.4923857868020305</v>
      </c>
      <c r="BF58" s="130" t="s">
        <v>176</v>
      </c>
      <c r="BG58" s="386">
        <v>23.89</v>
      </c>
      <c r="BH58" s="153"/>
      <c r="BI58" s="154" t="str">
        <f t="shared" si="5"/>
        <v>Intermediate</v>
      </c>
      <c r="BJ58" s="154">
        <f>'Lab descriptors of grain qu (2)'!E57</f>
        <v>5</v>
      </c>
      <c r="BK58" s="155">
        <f>'Lab descriptors of grain qu (2)'!F57</f>
        <v>0.29</v>
      </c>
      <c r="BL58" s="154">
        <f>'Lab descriptors of grain qu (2)'!G57</f>
        <v>1</v>
      </c>
      <c r="BM58" s="156">
        <f>'Lab descriptors of grain qu (2)'!H57</f>
        <v>1</v>
      </c>
      <c r="BN58" s="157">
        <f>'Lab descriptors of grain qu (2)'!I57</f>
        <v>1</v>
      </c>
      <c r="BO58" s="158">
        <f>'Lab descriptors of grain qu (2)'!K57</f>
        <v>0</v>
      </c>
      <c r="BP58" s="140"/>
      <c r="BQ58" s="478" t="s">
        <v>176</v>
      </c>
      <c r="BR58" s="480">
        <v>5</v>
      </c>
      <c r="BS58" s="483"/>
    </row>
    <row r="59" spans="1:71" ht="21">
      <c r="A59" s="194">
        <v>1639</v>
      </c>
      <c r="B59" s="130" t="s">
        <v>177</v>
      </c>
      <c r="C59" s="127"/>
      <c r="D59" s="93"/>
      <c r="E59" s="128">
        <f>'Agronomic traits'!F58</f>
        <v>107</v>
      </c>
      <c r="F59" s="128">
        <f>'Agronomic traits'!H58</f>
        <v>155</v>
      </c>
      <c r="G59" s="129">
        <f>'Agronomic traits'!I58</f>
        <v>60</v>
      </c>
      <c r="H59" s="129">
        <f>'Agronomic traits'!J58</f>
        <v>9</v>
      </c>
      <c r="I59" s="129">
        <f>'Agronomic traits'!K58</f>
        <v>6</v>
      </c>
      <c r="J59" s="130">
        <f>'Agronomic traits'!L58</f>
        <v>2</v>
      </c>
      <c r="K59" s="191" t="s">
        <v>177</v>
      </c>
      <c r="L59" s="132">
        <f>'Field plant descriptors'!C58</f>
        <v>4</v>
      </c>
      <c r="M59" s="128"/>
      <c r="N59" s="128">
        <f>'Field plant descriptors'!E58</f>
        <v>7</v>
      </c>
      <c r="O59" s="128">
        <f>'Field plant descriptors'!F58</f>
        <v>3</v>
      </c>
      <c r="P59" s="133">
        <f>AVERAGE('Field plant descriptors'!G58:L58)</f>
        <v>16.400000000000002</v>
      </c>
      <c r="Q59" s="134">
        <f>STDEV('Field plant descriptors'!G58:L58)</f>
        <v>1.1349008767288733</v>
      </c>
      <c r="R59" s="135">
        <f>'Field plant descriptors'!M58</f>
        <v>5</v>
      </c>
      <c r="S59" s="136">
        <f>'Diseases (blast)'!C64</f>
        <v>5</v>
      </c>
      <c r="T59" s="137">
        <f>'Diseases (blast)'!D64</f>
        <v>1</v>
      </c>
      <c r="U59" s="138"/>
      <c r="V59" s="138"/>
      <c r="W59" s="138"/>
      <c r="X59" s="139"/>
      <c r="Y59" s="130" t="s">
        <v>177</v>
      </c>
      <c r="Z59" s="140"/>
      <c r="AA59" s="141"/>
      <c r="AB59" s="142"/>
      <c r="AC59" s="143"/>
      <c r="AD59" s="144">
        <f>'Field grain descriptors'!C58</f>
        <v>9</v>
      </c>
      <c r="AE59" s="145" t="str">
        <f t="shared" si="2"/>
        <v>Present</v>
      </c>
      <c r="AF59" s="144">
        <f>'Field grain descriptors'!D58</f>
        <v>1</v>
      </c>
      <c r="AG59" s="146">
        <f>AVERAGE('Field grain descriptors'!E58:H58)</f>
        <v>2.715</v>
      </c>
      <c r="AH59" s="147">
        <f>STDEV('Field grain descriptors'!E58:H58)</f>
        <v>0.18876793513023968</v>
      </c>
      <c r="AI59" s="148" t="str">
        <f t="shared" si="3"/>
        <v>Long</v>
      </c>
      <c r="AJ59" s="136">
        <f>'Field grain descriptors'!I58</f>
        <v>4</v>
      </c>
      <c r="AK59" s="130" t="s">
        <v>177</v>
      </c>
      <c r="AL59" s="144">
        <f>'Lab descriptors of grain qualit'!C58</f>
        <v>1</v>
      </c>
      <c r="AM59" s="149" t="str">
        <f t="shared" si="4"/>
        <v>Straw</v>
      </c>
      <c r="AN59" s="146">
        <f>AVERAGE('Lab descriptors of grain qualit'!D58:M58)</f>
        <v>10.428</v>
      </c>
      <c r="AO59" s="147">
        <f>STDEV('Lab descriptors of grain qualit'!D58:M58)</f>
        <v>0.6667466618672491</v>
      </c>
      <c r="AP59" s="146">
        <f>AVERAGE('Lab descriptors of grain qualit'!N58:W58)</f>
        <v>2.6550000000000002</v>
      </c>
      <c r="AQ59" s="149">
        <f>STDEV('Lab descriptors of grain qualit'!N58:W58)</f>
        <v>0.11993053545004273</v>
      </c>
      <c r="AR59" s="382">
        <f t="shared" si="8"/>
        <v>3.927683615819209</v>
      </c>
      <c r="AS59" s="147">
        <f>AVERAGE('Lab descriptors of grain qualit'!X58:AG58)</f>
        <v>3.931102914753837</v>
      </c>
      <c r="AT59" s="381">
        <f>STDEV('Lab descriptors of grain qualit'!X58:AG58)</f>
        <v>0.2479375108774798</v>
      </c>
      <c r="AU59" s="130" t="s">
        <v>177</v>
      </c>
      <c r="AV59" s="146">
        <f>AVERAGE('Lab descriptors of grain qualit'!AI58:AR58)</f>
        <v>7.677</v>
      </c>
      <c r="AW59" s="147">
        <f>STDEV('Lab descriptors of grain qualit'!AI58:AR58)</f>
        <v>0.3599706778182066</v>
      </c>
      <c r="AX59" s="146">
        <f>AVERAGE('Lab descriptors of grain qualit'!AS58:BB58)</f>
        <v>2.211</v>
      </c>
      <c r="AY59" s="147">
        <f>STDEV('Lab descriptors of grain qualit'!AS58:BB58)</f>
        <v>0.06436872946808535</v>
      </c>
      <c r="AZ59" s="146">
        <f>AVERAGE('Lab descriptors of grain qualit'!BC58:BL58)</f>
        <v>3.4721940422970334</v>
      </c>
      <c r="BA59" s="147">
        <f>STDEV('Lab descriptors of grain qualit'!BC58:BL58)</f>
        <v>0.13293222301129914</v>
      </c>
      <c r="BB59" s="151" t="str">
        <f t="shared" si="10"/>
        <v>Long B</v>
      </c>
      <c r="BC59" s="133">
        <f>'Lab descriptors of grain qualit'!BM58</f>
        <v>28.48</v>
      </c>
      <c r="BD59" s="152">
        <f>'Lab descriptors of grain qualit'!BO58</f>
        <v>0.7240168539325843</v>
      </c>
      <c r="BE59" s="152">
        <f>'Lab descriptors of grain qualit'!BQ58</f>
        <v>0.6875</v>
      </c>
      <c r="BF59" s="130" t="s">
        <v>177</v>
      </c>
      <c r="BG59" s="386">
        <v>22.99</v>
      </c>
      <c r="BH59" s="153"/>
      <c r="BI59" s="154" t="str">
        <f t="shared" si="5"/>
        <v>Intermediate</v>
      </c>
      <c r="BJ59" s="154">
        <f>'Lab descriptors of grain qu (2)'!E58</f>
        <v>5</v>
      </c>
      <c r="BK59" s="155">
        <f>'Lab descriptors of grain qu (2)'!F58</f>
        <v>0.96</v>
      </c>
      <c r="BL59" s="154">
        <f>'Lab descriptors of grain qu (2)'!G58</f>
        <v>7</v>
      </c>
      <c r="BM59" s="156">
        <f>'Lab descriptors of grain qu (2)'!H58</f>
        <v>9</v>
      </c>
      <c r="BN59" s="157">
        <f>'Lab descriptors of grain qu (2)'!I58</f>
        <v>0</v>
      </c>
      <c r="BO59" s="158">
        <f>'Lab descriptors of grain qu (2)'!K58</f>
        <v>0</v>
      </c>
      <c r="BP59" s="140"/>
      <c r="BQ59" s="478" t="s">
        <v>177</v>
      </c>
      <c r="BR59" s="480">
        <v>4.5</v>
      </c>
      <c r="BS59" s="483"/>
    </row>
    <row r="60" spans="1:71" ht="21">
      <c r="A60" s="194">
        <v>1640</v>
      </c>
      <c r="B60" s="130" t="s">
        <v>178</v>
      </c>
      <c r="C60" s="127"/>
      <c r="D60" s="93"/>
      <c r="E60" s="128">
        <f>'Agronomic traits'!F59</f>
        <v>94</v>
      </c>
      <c r="F60" s="128">
        <f>'Agronomic traits'!H59</f>
        <v>150</v>
      </c>
      <c r="G60" s="129">
        <f>'Agronomic traits'!I59</f>
        <v>80</v>
      </c>
      <c r="H60" s="129">
        <f>'Agronomic traits'!J59</f>
        <v>9</v>
      </c>
      <c r="I60" s="129">
        <f>'Agronomic traits'!K59</f>
        <v>6</v>
      </c>
      <c r="J60" s="130">
        <f>'Agronomic traits'!L59</f>
        <v>5</v>
      </c>
      <c r="K60" s="191" t="s">
        <v>178</v>
      </c>
      <c r="L60" s="132">
        <f>'Field plant descriptors'!C59</f>
        <v>2</v>
      </c>
      <c r="M60" s="128"/>
      <c r="N60" s="128">
        <f>'Field plant descriptors'!E59</f>
        <v>4</v>
      </c>
      <c r="O60" s="128">
        <f>'Field plant descriptors'!F59</f>
        <v>3</v>
      </c>
      <c r="P60" s="133">
        <f>AVERAGE('Field plant descriptors'!G59:L59)</f>
        <v>19.516666666666666</v>
      </c>
      <c r="Q60" s="134">
        <f>STDEV('Field plant descriptors'!G59:L59)</f>
        <v>0.7494442385306394</v>
      </c>
      <c r="R60" s="135">
        <f>'Field plant descriptors'!M59</f>
        <v>5</v>
      </c>
      <c r="S60" s="136">
        <f>'Diseases (blast)'!C65</f>
        <v>4</v>
      </c>
      <c r="T60" s="137">
        <f>'Diseases (blast)'!D65</f>
        <v>1</v>
      </c>
      <c r="U60" s="138"/>
      <c r="V60" s="138"/>
      <c r="W60" s="138"/>
      <c r="X60" s="139"/>
      <c r="Y60" s="130" t="s">
        <v>178</v>
      </c>
      <c r="Z60" s="140"/>
      <c r="AA60" s="141"/>
      <c r="AB60" s="142"/>
      <c r="AC60" s="143"/>
      <c r="AD60" s="144">
        <f>'Field grain descriptors'!C59</f>
        <v>0</v>
      </c>
      <c r="AE60" s="145" t="str">
        <f t="shared" si="2"/>
        <v>?</v>
      </c>
      <c r="AF60" s="144">
        <f>'Field grain descriptors'!D59</f>
        <v>1</v>
      </c>
      <c r="AG60" s="146">
        <f>AVERAGE('Field grain descriptors'!E59:H59)</f>
        <v>2.3125</v>
      </c>
      <c r="AH60" s="147">
        <f>STDEV('Field grain descriptors'!E59:H59)</f>
        <v>0.3742882133686092</v>
      </c>
      <c r="AI60" s="148" t="str">
        <f t="shared" si="3"/>
        <v>Medium</v>
      </c>
      <c r="AJ60" s="136">
        <f>'Field grain descriptors'!I59</f>
        <v>4</v>
      </c>
      <c r="AK60" s="130" t="s">
        <v>178</v>
      </c>
      <c r="AL60" s="144">
        <f>'Lab descriptors of grain qualit'!C59</f>
        <v>1</v>
      </c>
      <c r="AM60" s="149" t="str">
        <f t="shared" si="4"/>
        <v>Straw</v>
      </c>
      <c r="AN60" s="146">
        <f>AVERAGE('Lab descriptors of grain qualit'!D59:M59)</f>
        <v>9.578999999999999</v>
      </c>
      <c r="AO60" s="147">
        <f>STDEV('Lab descriptors of grain qualit'!D59:M59)</f>
        <v>0.6867548487067704</v>
      </c>
      <c r="AP60" s="146">
        <f>AVERAGE('Lab descriptors of grain qualit'!N59:W59)</f>
        <v>2.675</v>
      </c>
      <c r="AQ60" s="149">
        <f>STDEV('Lab descriptors of grain qualit'!N59:W59)</f>
        <v>0.13509256086105528</v>
      </c>
      <c r="AR60" s="382">
        <f t="shared" si="8"/>
        <v>3.580934579439252</v>
      </c>
      <c r="AS60" s="147">
        <f>AVERAGE('Lab descriptors of grain qualit'!X59:AG59)</f>
        <v>3.587512917913783</v>
      </c>
      <c r="AT60" s="381">
        <f>STDEV('Lab descriptors of grain qualit'!X59:AG59)</f>
        <v>0.2963021221573672</v>
      </c>
      <c r="AU60" s="130" t="s">
        <v>178</v>
      </c>
      <c r="AV60" s="146">
        <f>AVERAGE('Lab descriptors of grain qualit'!AI59:AR59)</f>
        <v>7.1049999999999995</v>
      </c>
      <c r="AW60" s="147">
        <f>STDEV('Lab descriptors of grain qualit'!AI59:AR59)</f>
        <v>0.3063857408924727</v>
      </c>
      <c r="AX60" s="146">
        <f>AVERAGE('Lab descriptors of grain qualit'!AS59:BB59)</f>
        <v>2.1859999999999995</v>
      </c>
      <c r="AY60" s="147">
        <f>STDEV('Lab descriptors of grain qualit'!AS59:BB59)</f>
        <v>0.06619835513232389</v>
      </c>
      <c r="AZ60" s="146">
        <f>AVERAGE('Lab descriptors of grain qualit'!BC59:BL59)</f>
        <v>3.2513240565276447</v>
      </c>
      <c r="BA60" s="147">
        <f>STDEV('Lab descriptors of grain qualit'!BC59:BL59)</f>
        <v>0.13434395879271765</v>
      </c>
      <c r="BB60" s="151" t="str">
        <f t="shared" si="10"/>
        <v>Long B</v>
      </c>
      <c r="BC60" s="133">
        <f>'Lab descriptors of grain qualit'!BM59</f>
        <v>23.56</v>
      </c>
      <c r="BD60" s="152">
        <f>'Lab descriptors of grain qualit'!BO59</f>
        <v>0.7266553480475383</v>
      </c>
      <c r="BE60" s="152">
        <f>'Lab descriptors of grain qualit'!BQ59</f>
        <v>0.6638370118845501</v>
      </c>
      <c r="BF60" s="130" t="s">
        <v>178</v>
      </c>
      <c r="BG60" s="386">
        <v>21.71</v>
      </c>
      <c r="BH60" s="153"/>
      <c r="BI60" s="154" t="str">
        <f t="shared" si="5"/>
        <v>High</v>
      </c>
      <c r="BJ60" s="154">
        <f>'Lab descriptors of grain qu (2)'!E59</f>
        <v>6</v>
      </c>
      <c r="BK60" s="155">
        <f>'Lab descriptors of grain qu (2)'!F59</f>
        <v>0.71</v>
      </c>
      <c r="BL60" s="154">
        <f>'Lab descriptors of grain qu (2)'!G59</f>
        <v>5</v>
      </c>
      <c r="BM60" s="156">
        <f>'Lab descriptors of grain qu (2)'!H59</f>
        <v>5</v>
      </c>
      <c r="BN60" s="157">
        <f>'Lab descriptors of grain qu (2)'!I59</f>
        <v>0</v>
      </c>
      <c r="BO60" s="158">
        <f>'Lab descriptors of grain qu (2)'!K59</f>
        <v>0</v>
      </c>
      <c r="BP60" s="140"/>
      <c r="BQ60" s="478" t="s">
        <v>178</v>
      </c>
      <c r="BR60" s="480">
        <v>1</v>
      </c>
      <c r="BS60" s="483"/>
    </row>
    <row r="61" spans="1:71" ht="21">
      <c r="A61" s="194">
        <v>1642</v>
      </c>
      <c r="B61" s="159" t="s">
        <v>179</v>
      </c>
      <c r="C61" s="160"/>
      <c r="D61" s="161"/>
      <c r="E61" s="162">
        <f>'Agronomic traits'!F60</f>
        <v>91</v>
      </c>
      <c r="F61" s="162">
        <f>'Agronomic traits'!H60</f>
        <v>150</v>
      </c>
      <c r="G61" s="163">
        <f>'Agronomic traits'!I60</f>
        <v>70</v>
      </c>
      <c r="H61" s="163">
        <f>'Agronomic traits'!J60</f>
        <v>9</v>
      </c>
      <c r="I61" s="163">
        <f>'Agronomic traits'!K60</f>
        <v>6</v>
      </c>
      <c r="J61" s="159">
        <f>'Agronomic traits'!L60</f>
        <v>6</v>
      </c>
      <c r="K61" s="164" t="s">
        <v>179</v>
      </c>
      <c r="L61" s="165">
        <f>'Field plant descriptors'!C60</f>
        <v>6</v>
      </c>
      <c r="M61" s="162"/>
      <c r="N61" s="162">
        <f>'Field plant descriptors'!E60</f>
        <v>4</v>
      </c>
      <c r="O61" s="162">
        <f>'Field plant descriptors'!F60</f>
        <v>3</v>
      </c>
      <c r="P61" s="166">
        <f>AVERAGE('Field plant descriptors'!G60:L60)</f>
        <v>20.333333333333332</v>
      </c>
      <c r="Q61" s="167">
        <f>STDEV('Field plant descriptors'!G60:L60)</f>
        <v>0.9395034149308253</v>
      </c>
      <c r="R61" s="168">
        <f>'Field plant descriptors'!M60</f>
        <v>5</v>
      </c>
      <c r="S61" s="169" t="str">
        <f>'Diseases (blast)'!C66</f>
        <v>1-2</v>
      </c>
      <c r="T61" s="170">
        <f>'Diseases (blast)'!D66</f>
        <v>1</v>
      </c>
      <c r="U61" s="171"/>
      <c r="V61" s="171"/>
      <c r="W61" s="171"/>
      <c r="X61" s="172"/>
      <c r="Y61" s="159" t="s">
        <v>179</v>
      </c>
      <c r="Z61" s="173"/>
      <c r="AA61" s="174"/>
      <c r="AB61" s="175"/>
      <c r="AC61" s="176"/>
      <c r="AD61" s="177">
        <f>'Field grain descriptors'!C60</f>
        <v>9</v>
      </c>
      <c r="AE61" s="178" t="str">
        <f t="shared" si="2"/>
        <v>Present</v>
      </c>
      <c r="AF61" s="177">
        <f>'Field grain descriptors'!D60</f>
        <v>1</v>
      </c>
      <c r="AG61" s="179">
        <f>AVERAGE('Field grain descriptors'!E60:H60)</f>
        <v>2.295</v>
      </c>
      <c r="AH61" s="180">
        <f>STDEV('Field grain descriptors'!E60:H60)</f>
        <v>0.45390894828515327</v>
      </c>
      <c r="AI61" s="181" t="str">
        <f t="shared" si="3"/>
        <v>Medium</v>
      </c>
      <c r="AJ61" s="169">
        <f>'Field grain descriptors'!I60</f>
        <v>1</v>
      </c>
      <c r="AK61" s="159" t="s">
        <v>179</v>
      </c>
      <c r="AL61" s="177">
        <f>'Lab descriptors of grain qualit'!C60</f>
        <v>1</v>
      </c>
      <c r="AM61" s="182" t="str">
        <f t="shared" si="4"/>
        <v>Straw</v>
      </c>
      <c r="AN61" s="179">
        <f>AVERAGE('Lab descriptors of grain qualit'!D60:M60)</f>
        <v>9.109</v>
      </c>
      <c r="AO61" s="180">
        <f>STDEV('Lab descriptors of grain qualit'!D60:M60)</f>
        <v>0.4484157297270824</v>
      </c>
      <c r="AP61" s="179">
        <f>AVERAGE('Lab descriptors of grain qualit'!N60:W60)</f>
        <v>2.3529999999999998</v>
      </c>
      <c r="AQ61" s="182">
        <f>STDEV('Lab descriptors of grain qualit'!N60:W60)</f>
        <v>0.11671903586534245</v>
      </c>
      <c r="AR61" s="383">
        <f t="shared" si="8"/>
        <v>3.871228219294518</v>
      </c>
      <c r="AS61" s="180">
        <f>AVERAGE('Lab descriptors of grain qualit'!X60:AG60)</f>
        <v>3.8773849409508685</v>
      </c>
      <c r="AT61" s="384">
        <f>STDEV('Lab descriptors of grain qualit'!X60:AG60)</f>
        <v>0.2284949963478683</v>
      </c>
      <c r="AU61" s="159" t="s">
        <v>179</v>
      </c>
      <c r="AV61" s="179">
        <f>AVERAGE('Lab descriptors of grain qualit'!AI60:AR60)</f>
        <v>6.970000000000001</v>
      </c>
      <c r="AW61" s="180">
        <f>STDEV('Lab descriptors of grain qualit'!AI60:AR60)</f>
        <v>0.254558441227152</v>
      </c>
      <c r="AX61" s="179">
        <f>AVERAGE('Lab descriptors of grain qualit'!AS60:BB60)</f>
        <v>2.097</v>
      </c>
      <c r="AY61" s="180">
        <f>STDEV('Lab descriptors of grain qualit'!AS60:BB60)</f>
        <v>0.05657836257007719</v>
      </c>
      <c r="AZ61" s="179">
        <f>AVERAGE('Lab descriptors of grain qualit'!BC60:BL60)</f>
        <v>3.323727748697281</v>
      </c>
      <c r="BA61" s="180">
        <f>STDEV('Lab descriptors of grain qualit'!BC60:BL60)</f>
        <v>0.0808964483713556</v>
      </c>
      <c r="BB61" s="183" t="str">
        <f t="shared" si="10"/>
        <v>Long B</v>
      </c>
      <c r="BC61" s="166">
        <f>'Lab descriptors of grain qualit'!BM60</f>
        <v>20.51</v>
      </c>
      <c r="BD61" s="184">
        <f>'Lab descriptors of grain qualit'!BO60</f>
        <v>0.7235494880546074</v>
      </c>
      <c r="BE61" s="184">
        <f>'Lab descriptors of grain qualit'!BQ60</f>
        <v>0.6094588005850804</v>
      </c>
      <c r="BF61" s="159" t="s">
        <v>179</v>
      </c>
      <c r="BG61" s="386">
        <v>23.26</v>
      </c>
      <c r="BH61" s="185"/>
      <c r="BI61" s="186" t="str">
        <f t="shared" si="5"/>
        <v>Intermediate</v>
      </c>
      <c r="BJ61" s="186">
        <f>'Lab descriptors of grain qu (2)'!E60</f>
        <v>5</v>
      </c>
      <c r="BK61" s="187">
        <f>'Lab descriptors of grain qu (2)'!F60</f>
        <v>0.32</v>
      </c>
      <c r="BL61" s="186">
        <f>'Lab descriptors of grain qu (2)'!G60</f>
        <v>5</v>
      </c>
      <c r="BM61" s="188">
        <f>'Lab descriptors of grain qu (2)'!H60</f>
        <v>0</v>
      </c>
      <c r="BN61" s="189">
        <f>'Lab descriptors of grain qu (2)'!I60</f>
        <v>5</v>
      </c>
      <c r="BO61" s="190">
        <f>'Lab descriptors of grain qu (2)'!K60</f>
        <v>0</v>
      </c>
      <c r="BP61" s="173"/>
      <c r="BQ61" s="477" t="s">
        <v>179</v>
      </c>
      <c r="BR61" s="480">
        <v>3.5</v>
      </c>
      <c r="BS61" s="483"/>
    </row>
    <row r="62" spans="1:71" ht="21">
      <c r="A62" s="194">
        <v>1643</v>
      </c>
      <c r="B62" s="126" t="s">
        <v>180</v>
      </c>
      <c r="C62" s="127"/>
      <c r="D62" s="93"/>
      <c r="E62" s="128">
        <f>'Agronomic traits'!F61</f>
        <v>90</v>
      </c>
      <c r="F62" s="128">
        <f>'Agronomic traits'!H61</f>
        <v>150</v>
      </c>
      <c r="G62" s="129">
        <f>'Agronomic traits'!I61</f>
        <v>88</v>
      </c>
      <c r="H62" s="129">
        <f>'Agronomic traits'!J61</f>
        <v>9</v>
      </c>
      <c r="I62" s="129">
        <f>'Agronomic traits'!K61</f>
        <v>2</v>
      </c>
      <c r="J62" s="130">
        <f>'Agronomic traits'!L61</f>
        <v>2</v>
      </c>
      <c r="K62" s="131" t="s">
        <v>180</v>
      </c>
      <c r="L62" s="132">
        <f>'Field plant descriptors'!C61</f>
        <v>2</v>
      </c>
      <c r="M62" s="128"/>
      <c r="N62" s="128">
        <f>'Field plant descriptors'!E61</f>
        <v>4</v>
      </c>
      <c r="O62" s="128">
        <f>'Field plant descriptors'!F61</f>
        <v>3</v>
      </c>
      <c r="P62" s="133">
        <f>AVERAGE('Field plant descriptors'!G61:L61)</f>
        <v>18.05</v>
      </c>
      <c r="Q62" s="134">
        <f>STDEV('Field plant descriptors'!G61:L61)</f>
        <v>0.5089204259998591</v>
      </c>
      <c r="R62" s="135">
        <f>'Field plant descriptors'!M61</f>
        <v>5</v>
      </c>
      <c r="S62" s="136" t="str">
        <f>'Diseases (blast)'!C67</f>
        <v>2-3</v>
      </c>
      <c r="T62" s="137">
        <f>'Diseases (blast)'!D67</f>
        <v>1</v>
      </c>
      <c r="U62" s="138"/>
      <c r="V62" s="138"/>
      <c r="W62" s="138"/>
      <c r="X62" s="139"/>
      <c r="Y62" s="126" t="s">
        <v>180</v>
      </c>
      <c r="Z62" s="140"/>
      <c r="AA62" s="141"/>
      <c r="AB62" s="142"/>
      <c r="AC62" s="143"/>
      <c r="AD62" s="144">
        <f>'Field grain descriptors'!C61</f>
        <v>1</v>
      </c>
      <c r="AE62" s="145" t="str">
        <f t="shared" si="2"/>
        <v>Absent</v>
      </c>
      <c r="AF62" s="144">
        <f>'Field grain descriptors'!D61</f>
        <v>7</v>
      </c>
      <c r="AG62" s="146">
        <f>AVERAGE('Field grain descriptors'!E61:H61)</f>
        <v>3.01</v>
      </c>
      <c r="AH62" s="147">
        <f>STDEV('Field grain descriptors'!E61:H61)</f>
        <v>0.4333589736004123</v>
      </c>
      <c r="AI62" s="148" t="str">
        <f t="shared" si="3"/>
        <v>Long</v>
      </c>
      <c r="AJ62" s="136">
        <f>'Field grain descriptors'!I61</f>
        <v>1</v>
      </c>
      <c r="AK62" s="126" t="s">
        <v>180</v>
      </c>
      <c r="AL62" s="144">
        <f>'Lab descriptors of grain qualit'!C61</f>
        <v>3</v>
      </c>
      <c r="AM62" s="149" t="str">
        <f t="shared" si="4"/>
        <v>Gold</v>
      </c>
      <c r="AN62" s="146">
        <f>AVERAGE('Lab descriptors of grain qualit'!D61:M61)</f>
        <v>8.988999999999999</v>
      </c>
      <c r="AO62" s="147">
        <f>STDEV('Lab descriptors of grain qualit'!D61:M61)</f>
        <v>0.44977648770131173</v>
      </c>
      <c r="AP62" s="146">
        <f>AVERAGE('Lab descriptors of grain qualit'!N61:W61)</f>
        <v>3.048</v>
      </c>
      <c r="AQ62" s="149">
        <f>STDEV('Lab descriptors of grain qualit'!N61:W61)</f>
        <v>0.22009089031579515</v>
      </c>
      <c r="AR62" s="382">
        <f t="shared" si="8"/>
        <v>2.949146981627296</v>
      </c>
      <c r="AS62" s="147">
        <f>AVERAGE('Lab descriptors of grain qualit'!X61:AG61)</f>
        <v>2.958486910894048</v>
      </c>
      <c r="AT62" s="381">
        <f>STDEV('Lab descriptors of grain qualit'!X61:AG61)</f>
        <v>0.1899033869897298</v>
      </c>
      <c r="AU62" s="126" t="s">
        <v>180</v>
      </c>
      <c r="AV62" s="146">
        <f>AVERAGE('Lab descriptors of grain qualit'!AI61:AR61)</f>
        <v>6.517</v>
      </c>
      <c r="AW62" s="147">
        <f>STDEV('Lab descriptors of grain qualit'!AI61:AR61)</f>
        <v>0.1699052023269464</v>
      </c>
      <c r="AX62" s="146">
        <f>AVERAGE('Lab descriptors of grain qualit'!AS61:BB61)</f>
        <v>2.673</v>
      </c>
      <c r="AY62" s="147">
        <f>STDEV('Lab descriptors of grain qualit'!AS61:BB61)</f>
        <v>0.09510812560215119</v>
      </c>
      <c r="AZ62" s="146">
        <f>AVERAGE('Lab descriptors of grain qualit'!BC61:BL61)</f>
        <v>2.4399934990880294</v>
      </c>
      <c r="BA62" s="147">
        <f>STDEV('Lab descriptors of grain qualit'!BC61:BL61)</f>
        <v>0.08321518876982541</v>
      </c>
      <c r="BB62" s="151" t="str">
        <f t="shared" si="10"/>
        <v>Long A</v>
      </c>
      <c r="BC62" s="133">
        <f>'Lab descriptors of grain qualit'!BM61</f>
        <v>29.43</v>
      </c>
      <c r="BD62" s="152">
        <f>'Lab descriptors of grain qualit'!BO61</f>
        <v>0.7121984369690793</v>
      </c>
      <c r="BE62" s="152">
        <f>'Lab descriptors of grain qualit'!BQ61</f>
        <v>0.6931702344546381</v>
      </c>
      <c r="BF62" s="126" t="s">
        <v>180</v>
      </c>
      <c r="BG62" s="387">
        <v>17.31</v>
      </c>
      <c r="BH62" s="153"/>
      <c r="BI62" s="154" t="str">
        <f t="shared" si="5"/>
        <v>High</v>
      </c>
      <c r="BJ62" s="154" t="str">
        <f>'Lab descriptors of grain qu (2)'!E61</f>
        <v>6-7</v>
      </c>
      <c r="BK62" s="155">
        <f>'Lab descriptors of grain qu (2)'!F61</f>
        <v>0.27</v>
      </c>
      <c r="BL62" s="154">
        <f>'Lab descriptors of grain qu (2)'!G61</f>
        <v>5</v>
      </c>
      <c r="BM62" s="156">
        <f>'Lab descriptors of grain qu (2)'!H61</f>
        <v>0</v>
      </c>
      <c r="BN62" s="157">
        <f>'Lab descriptors of grain qu (2)'!I61</f>
        <v>5</v>
      </c>
      <c r="BO62" s="158">
        <f>'Lab descriptors of grain qu (2)'!K61</f>
        <v>0</v>
      </c>
      <c r="BP62" s="140"/>
      <c r="BQ62" s="476" t="s">
        <v>180</v>
      </c>
      <c r="BR62" s="480">
        <v>7.5</v>
      </c>
      <c r="BS62" s="483" t="s">
        <v>408</v>
      </c>
    </row>
    <row r="63" spans="1:71" ht="21">
      <c r="A63" s="194">
        <v>1644</v>
      </c>
      <c r="B63" s="130" t="s">
        <v>181</v>
      </c>
      <c r="C63" s="127"/>
      <c r="D63" s="93"/>
      <c r="E63" s="128">
        <f>'Agronomic traits'!F62</f>
        <v>102</v>
      </c>
      <c r="F63" s="128">
        <f>'Agronomic traits'!H62</f>
        <v>153</v>
      </c>
      <c r="G63" s="129">
        <f>'Agronomic traits'!I62</f>
        <v>60</v>
      </c>
      <c r="H63" s="129">
        <f>'Agronomic traits'!J62</f>
        <v>9</v>
      </c>
      <c r="I63" s="129">
        <f>'Agronomic traits'!K62</f>
        <v>6</v>
      </c>
      <c r="J63" s="130">
        <f>'Agronomic traits'!L62</f>
        <v>3</v>
      </c>
      <c r="K63" s="191" t="s">
        <v>181</v>
      </c>
      <c r="L63" s="132">
        <f>'Field plant descriptors'!C62</f>
        <v>2</v>
      </c>
      <c r="M63" s="128"/>
      <c r="N63" s="128">
        <f>'Field plant descriptors'!E62</f>
        <v>2</v>
      </c>
      <c r="O63" s="128">
        <f>'Field plant descriptors'!F62</f>
        <v>3</v>
      </c>
      <c r="P63" s="133">
        <f>AVERAGE('Field plant descriptors'!G62:L62)</f>
        <v>18.583333333333332</v>
      </c>
      <c r="Q63" s="134">
        <f>STDEV('Field plant descriptors'!G62:L62)</f>
        <v>1.1478966271693278</v>
      </c>
      <c r="R63" s="135">
        <f>'Field plant descriptors'!M62</f>
        <v>5</v>
      </c>
      <c r="S63" s="136">
        <f>'Diseases (blast)'!C68</f>
        <v>5</v>
      </c>
      <c r="T63" s="137">
        <f>'Diseases (blast)'!D68</f>
        <v>1</v>
      </c>
      <c r="U63" s="138"/>
      <c r="V63" s="138"/>
      <c r="W63" s="138"/>
      <c r="X63" s="139"/>
      <c r="Y63" s="130" t="s">
        <v>181</v>
      </c>
      <c r="Z63" s="140"/>
      <c r="AA63" s="141"/>
      <c r="AB63" s="142"/>
      <c r="AC63" s="143"/>
      <c r="AD63" s="144">
        <f>'Field grain descriptors'!C62</f>
        <v>1</v>
      </c>
      <c r="AE63" s="145" t="str">
        <f t="shared" si="2"/>
        <v>Absent</v>
      </c>
      <c r="AF63" s="144">
        <f>'Field grain descriptors'!D62</f>
        <v>1</v>
      </c>
      <c r="AG63" s="146">
        <f>AVERAGE('Field grain descriptors'!E62:H62)</f>
        <v>2.6025</v>
      </c>
      <c r="AH63" s="147">
        <f>STDEV('Field grain descriptors'!E62:H62)</f>
        <v>0.13817259737975138</v>
      </c>
      <c r="AI63" s="148" t="str">
        <f t="shared" si="3"/>
        <v>Long</v>
      </c>
      <c r="AJ63" s="136">
        <f>'Field grain descriptors'!I62</f>
        <v>1</v>
      </c>
      <c r="AK63" s="130" t="s">
        <v>181</v>
      </c>
      <c r="AL63" s="144">
        <f>'Lab descriptors of grain qualit'!C62</f>
        <v>3</v>
      </c>
      <c r="AM63" s="149" t="str">
        <f t="shared" si="4"/>
        <v>Gold</v>
      </c>
      <c r="AN63" s="146">
        <f>AVERAGE('Lab descriptors of grain qualit'!D62:M62)</f>
        <v>8.387</v>
      </c>
      <c r="AO63" s="147">
        <f>STDEV('Lab descriptors of grain qualit'!D62:M62)</f>
        <v>0.21909155873999975</v>
      </c>
      <c r="AP63" s="146">
        <f>AVERAGE('Lab descriptors of grain qualit'!N62:W62)</f>
        <v>3.1189999999999998</v>
      </c>
      <c r="AQ63" s="149">
        <f>STDEV('Lab descriptors of grain qualit'!N62:W62)</f>
        <v>0.11049886877250804</v>
      </c>
      <c r="AR63" s="382">
        <f t="shared" si="8"/>
        <v>2.6890028855402375</v>
      </c>
      <c r="AS63" s="147">
        <f>AVERAGE('Lab descriptors of grain qualit'!X62:AG62)</f>
        <v>2.6909775463614842</v>
      </c>
      <c r="AT63" s="381">
        <f>STDEV('Lab descriptors of grain qualit'!X62:AG62)</f>
        <v>0.08779460964511193</v>
      </c>
      <c r="AU63" s="130" t="s">
        <v>181</v>
      </c>
      <c r="AV63" s="146">
        <f>AVERAGE('Lab descriptors of grain qualit'!AI62:AR62)</f>
        <v>5.858</v>
      </c>
      <c r="AW63" s="147">
        <f>STDEV('Lab descriptors of grain qualit'!AI62:AR62)</f>
        <v>0.632452018382077</v>
      </c>
      <c r="AX63" s="146">
        <f>AVERAGE('Lab descriptors of grain qualit'!AS62:BB62)</f>
        <v>2.7369999999999997</v>
      </c>
      <c r="AY63" s="147">
        <f>STDEV('Lab descriptors of grain qualit'!AS62:BB62)</f>
        <v>0.07860590874030435</v>
      </c>
      <c r="AZ63" s="146">
        <f>AVERAGE('Lab descriptors of grain qualit'!BC62:BL62)</f>
        <v>2.142797107116184</v>
      </c>
      <c r="BA63" s="147">
        <f>STDEV('Lab descriptors of grain qualit'!BC62:BL62)</f>
        <v>0.24342098690474723</v>
      </c>
      <c r="BB63" s="151" t="str">
        <f t="shared" si="10"/>
        <v>Medium</v>
      </c>
      <c r="BC63" s="133">
        <f>'Lab descriptors of grain qualit'!BM62</f>
        <v>26.06</v>
      </c>
      <c r="BD63" s="152">
        <f>'Lab descriptors of grain qualit'!BO62</f>
        <v>0.7179585571757483</v>
      </c>
      <c r="BE63" s="152">
        <f>'Lab descriptors of grain qualit'!BQ62</f>
        <v>0.7087490406753645</v>
      </c>
      <c r="BF63" s="130" t="s">
        <v>181</v>
      </c>
      <c r="BG63" s="386">
        <v>17.65</v>
      </c>
      <c r="BH63" s="153"/>
      <c r="BI63" s="154" t="str">
        <f t="shared" si="5"/>
        <v>High</v>
      </c>
      <c r="BJ63" s="154">
        <f>'Lab descriptors of grain qu (2)'!E62</f>
        <v>7</v>
      </c>
      <c r="BK63" s="155">
        <f>'Lab descriptors of grain qu (2)'!F62</f>
        <v>0.48</v>
      </c>
      <c r="BL63" s="154">
        <f>'Lab descriptors of grain qu (2)'!G62</f>
        <v>5</v>
      </c>
      <c r="BM63" s="156">
        <f>'Lab descriptors of grain qu (2)'!H62</f>
        <v>0</v>
      </c>
      <c r="BN63" s="157">
        <f>'Lab descriptors of grain qu (2)'!I62</f>
        <v>5</v>
      </c>
      <c r="BO63" s="158">
        <f>'Lab descriptors of grain qu (2)'!K62</f>
        <v>0</v>
      </c>
      <c r="BP63" s="140"/>
      <c r="BQ63" s="478" t="s">
        <v>181</v>
      </c>
      <c r="BR63" s="480">
        <v>1.5</v>
      </c>
      <c r="BS63" s="483"/>
    </row>
    <row r="64" spans="1:71" ht="21">
      <c r="A64" s="194">
        <v>1645</v>
      </c>
      <c r="B64" s="159" t="s">
        <v>182</v>
      </c>
      <c r="C64" s="160"/>
      <c r="D64" s="161"/>
      <c r="E64" s="162">
        <f>'Agronomic traits'!F63</f>
        <v>90</v>
      </c>
      <c r="F64" s="162">
        <f>'Agronomic traits'!H63</f>
        <v>144</v>
      </c>
      <c r="G64" s="163">
        <f>'Agronomic traits'!I63</f>
        <v>70</v>
      </c>
      <c r="H64" s="163">
        <f>'Agronomic traits'!J63</f>
        <v>9</v>
      </c>
      <c r="I64" s="163">
        <f>'Agronomic traits'!K63</f>
        <v>1</v>
      </c>
      <c r="J64" s="159">
        <f>'Agronomic traits'!L63</f>
        <v>4</v>
      </c>
      <c r="K64" s="164" t="s">
        <v>182</v>
      </c>
      <c r="L64" s="165">
        <f>'Field plant descriptors'!C63</f>
        <v>2</v>
      </c>
      <c r="M64" s="162"/>
      <c r="N64" s="162">
        <f>'Field plant descriptors'!E63</f>
        <v>4</v>
      </c>
      <c r="O64" s="162">
        <f>'Field plant descriptors'!F63</f>
        <v>3</v>
      </c>
      <c r="P64" s="166">
        <f>AVERAGE('Field plant descriptors'!G63:L63)</f>
        <v>16.36666666666667</v>
      </c>
      <c r="Q64" s="167">
        <f>STDEV('Field plant descriptors'!G63:L63)</f>
        <v>0.5163977794942636</v>
      </c>
      <c r="R64" s="168">
        <f>'Field plant descriptors'!M63</f>
        <v>5</v>
      </c>
      <c r="S64" s="169">
        <f>'Diseases (blast)'!C69</f>
        <v>5</v>
      </c>
      <c r="T64" s="170">
        <f>'Diseases (blast)'!D69</f>
        <v>1</v>
      </c>
      <c r="U64" s="171"/>
      <c r="V64" s="171"/>
      <c r="W64" s="171"/>
      <c r="X64" s="172"/>
      <c r="Y64" s="159" t="s">
        <v>182</v>
      </c>
      <c r="Z64" s="173"/>
      <c r="AA64" s="174"/>
      <c r="AB64" s="175"/>
      <c r="AC64" s="176"/>
      <c r="AD64" s="177">
        <f>'Field grain descriptors'!C63</f>
        <v>9</v>
      </c>
      <c r="AE64" s="178" t="str">
        <f t="shared" si="2"/>
        <v>Present</v>
      </c>
      <c r="AF64" s="177">
        <f>'Field grain descriptors'!D63</f>
        <v>5</v>
      </c>
      <c r="AG64" s="179">
        <f>AVERAGE('Field grain descriptors'!E63:H63)</f>
        <v>2.4699999999999998</v>
      </c>
      <c r="AH64" s="180">
        <f>STDEV('Field grain descriptors'!E63:H63)</f>
        <v>0.12027745701779405</v>
      </c>
      <c r="AI64" s="181" t="str">
        <f t="shared" si="3"/>
        <v>Medium</v>
      </c>
      <c r="AJ64" s="169">
        <f>'Field grain descriptors'!I63</f>
        <v>2</v>
      </c>
      <c r="AK64" s="159" t="s">
        <v>182</v>
      </c>
      <c r="AL64" s="177">
        <f>'Lab descriptors of grain qualit'!C63</f>
        <v>3</v>
      </c>
      <c r="AM64" s="182" t="str">
        <f t="shared" si="4"/>
        <v>Gold</v>
      </c>
      <c r="AN64" s="179">
        <f>AVERAGE('Lab descriptors of grain qualit'!D63:M63)</f>
        <v>7.484999999999999</v>
      </c>
      <c r="AO64" s="180">
        <f>STDEV('Lab descriptors of grain qualit'!D63:M63)</f>
        <v>0.23420076857263492</v>
      </c>
      <c r="AP64" s="179">
        <f>AVERAGE('Lab descriptors of grain qualit'!N63:W63)</f>
        <v>3.461</v>
      </c>
      <c r="AQ64" s="182">
        <f>STDEV('Lab descriptors of grain qualit'!N63:W63)</f>
        <v>0.06838615844353083</v>
      </c>
      <c r="AR64" s="383">
        <f t="shared" si="8"/>
        <v>2.162669748627564</v>
      </c>
      <c r="AS64" s="180">
        <f>AVERAGE('Lab descriptors of grain qualit'!X63:AG63)</f>
        <v>2.1638644463704972</v>
      </c>
      <c r="AT64" s="384">
        <f>STDEV('Lab descriptors of grain qualit'!X63:AG63)</f>
        <v>0.09272974560642379</v>
      </c>
      <c r="AU64" s="159" t="s">
        <v>182</v>
      </c>
      <c r="AV64" s="179">
        <f>AVERAGE('Lab descriptors of grain qualit'!AI63:AR63)</f>
        <v>4.99</v>
      </c>
      <c r="AW64" s="180">
        <f>STDEV('Lab descriptors of grain qualit'!AI63:AR63)</f>
        <v>0.10370899457404315</v>
      </c>
      <c r="AX64" s="179">
        <f>AVERAGE('Lab descriptors of grain qualit'!AS63:BB63)</f>
        <v>2.957</v>
      </c>
      <c r="AY64" s="180">
        <f>STDEV('Lab descriptors of grain qualit'!AS63:BB63)</f>
        <v>0.09031426613036375</v>
      </c>
      <c r="AZ64" s="179">
        <f>AVERAGE('Lab descriptors of grain qualit'!BC63:BL63)</f>
        <v>1.6886544444317864</v>
      </c>
      <c r="BA64" s="180">
        <f>STDEV('Lab descriptors of grain qualit'!BC63:BL63)</f>
        <v>0.05314030941169982</v>
      </c>
      <c r="BB64" s="183" t="str">
        <f t="shared" si="10"/>
        <v>Round</v>
      </c>
      <c r="BC64" s="166">
        <f>'Lab descriptors of grain qualit'!BM63</f>
        <v>26.54</v>
      </c>
      <c r="BD64" s="184">
        <f>'Lab descriptors of grain qualit'!BO63</f>
        <v>0.6672946495855313</v>
      </c>
      <c r="BE64" s="184">
        <f>'Lab descriptors of grain qualit'!BQ63</f>
        <v>0.6039939713639789</v>
      </c>
      <c r="BF64" s="159" t="s">
        <v>182</v>
      </c>
      <c r="BG64" s="386">
        <v>4.71</v>
      </c>
      <c r="BH64" s="185"/>
      <c r="BI64" s="186" t="str">
        <f t="shared" si="5"/>
        <v>High</v>
      </c>
      <c r="BJ64" s="186" t="str">
        <f>'Lab descriptors of grain qu (2)'!E63</f>
        <v>6-7</v>
      </c>
      <c r="BK64" s="187">
        <f>'Lab descriptors of grain qu (2)'!F63</f>
        <v>1</v>
      </c>
      <c r="BL64" s="186">
        <f>'Lab descriptors of grain qu (2)'!G63</f>
        <v>9</v>
      </c>
      <c r="BM64" s="188">
        <f>'Lab descriptors of grain qu (2)'!H63</f>
        <v>9</v>
      </c>
      <c r="BN64" s="189">
        <f>'Lab descriptors of grain qu (2)'!I63</f>
        <v>9</v>
      </c>
      <c r="BO64" s="190">
        <f>'Lab descriptors of grain qu (2)'!K63</f>
        <v>9</v>
      </c>
      <c r="BP64" s="173"/>
      <c r="BQ64" s="477" t="s">
        <v>182</v>
      </c>
      <c r="BR64" s="480">
        <v>1</v>
      </c>
      <c r="BS64" s="483"/>
    </row>
    <row r="65" spans="1:71" ht="21">
      <c r="A65" s="194">
        <v>1646</v>
      </c>
      <c r="B65" s="130" t="s">
        <v>183</v>
      </c>
      <c r="C65" s="127"/>
      <c r="D65" s="93"/>
      <c r="E65" s="128">
        <f>'Agronomic traits'!F64</f>
        <v>102</v>
      </c>
      <c r="F65" s="128">
        <f>'Agronomic traits'!H64</f>
        <v>151</v>
      </c>
      <c r="G65" s="129">
        <f>'Agronomic traits'!I64</f>
        <v>60</v>
      </c>
      <c r="H65" s="129">
        <f>'Agronomic traits'!J64</f>
        <v>9</v>
      </c>
      <c r="I65" s="129">
        <f>'Agronomic traits'!K64</f>
        <v>4</v>
      </c>
      <c r="J65" s="130">
        <f>'Agronomic traits'!L64</f>
        <v>6</v>
      </c>
      <c r="K65" s="191" t="s">
        <v>183</v>
      </c>
      <c r="L65" s="132">
        <f>'Field plant descriptors'!C64</f>
        <v>2</v>
      </c>
      <c r="M65" s="128"/>
      <c r="N65" s="128">
        <f>'Field plant descriptors'!E64</f>
        <v>1</v>
      </c>
      <c r="O65" s="128">
        <f>'Field plant descriptors'!F64</f>
        <v>3</v>
      </c>
      <c r="P65" s="133">
        <f>AVERAGE('Field plant descriptors'!G64:L64)</f>
        <v>18.983333333333334</v>
      </c>
      <c r="Q65" s="134">
        <f>STDEV('Field plant descriptors'!G64:L64)</f>
        <v>1.4414113454065305</v>
      </c>
      <c r="R65" s="135">
        <f>'Field plant descriptors'!M64</f>
        <v>1</v>
      </c>
      <c r="S65" s="136">
        <f>'Diseases (blast)'!C70</f>
        <v>5</v>
      </c>
      <c r="T65" s="137">
        <f>'Diseases (blast)'!D70</f>
        <v>1</v>
      </c>
      <c r="U65" s="138"/>
      <c r="V65" s="138"/>
      <c r="W65" s="138"/>
      <c r="X65" s="139"/>
      <c r="Y65" s="130" t="s">
        <v>183</v>
      </c>
      <c r="Z65" s="140"/>
      <c r="AA65" s="141"/>
      <c r="AB65" s="142"/>
      <c r="AC65" s="143"/>
      <c r="AD65" s="144">
        <f>'Field grain descriptors'!C64</f>
        <v>1</v>
      </c>
      <c r="AE65" s="145" t="str">
        <f t="shared" si="2"/>
        <v>Absent</v>
      </c>
      <c r="AF65" s="144">
        <f>'Field grain descriptors'!D64</f>
        <v>5</v>
      </c>
      <c r="AG65" s="146">
        <f>AVERAGE('Field grain descriptors'!E64:H64)</f>
        <v>2.9</v>
      </c>
      <c r="AH65" s="147">
        <f>STDEV('Field grain descriptors'!E64:H64)</f>
        <v>0.10099504938362035</v>
      </c>
      <c r="AI65" s="148" t="str">
        <f t="shared" si="3"/>
        <v>Long</v>
      </c>
      <c r="AJ65" s="136">
        <f>'Field grain descriptors'!I64</f>
        <v>1</v>
      </c>
      <c r="AK65" s="130" t="s">
        <v>183</v>
      </c>
      <c r="AL65" s="144">
        <f>'Lab descriptors of grain qualit'!C64</f>
        <v>1</v>
      </c>
      <c r="AM65" s="149" t="str">
        <f t="shared" si="4"/>
        <v>Straw</v>
      </c>
      <c r="AN65" s="146">
        <f>AVERAGE('Lab descriptors of grain qualit'!D64:M64)</f>
        <v>9.644</v>
      </c>
      <c r="AO65" s="147">
        <f>STDEV('Lab descriptors of grain qualit'!D64:M64)</f>
        <v>0.4561481240903182</v>
      </c>
      <c r="AP65" s="146">
        <f>AVERAGE('Lab descriptors of grain qualit'!N64:W64)</f>
        <v>2.452</v>
      </c>
      <c r="AQ65" s="149">
        <f>STDEV('Lab descriptors of grain qualit'!N64:W64)</f>
        <v>0.1411697166140429</v>
      </c>
      <c r="AR65" s="382">
        <f t="shared" si="8"/>
        <v>3.933115823817292</v>
      </c>
      <c r="AS65" s="147">
        <f>AVERAGE('Lab descriptors of grain qualit'!X64:AG64)</f>
        <v>3.9433522717066274</v>
      </c>
      <c r="AT65" s="381">
        <f>STDEV('Lab descriptors of grain qualit'!X64:AG64)</f>
        <v>0.27170565882035924</v>
      </c>
      <c r="AU65" s="130" t="s">
        <v>183</v>
      </c>
      <c r="AV65" s="146">
        <f>AVERAGE('Lab descriptors of grain qualit'!AI64:AR64)</f>
        <v>7.162000000000001</v>
      </c>
      <c r="AW65" s="147">
        <f>STDEV('Lab descriptors of grain qualit'!AI64:AR64)</f>
        <v>0.20313104691853526</v>
      </c>
      <c r="AX65" s="146">
        <f>AVERAGE('Lab descriptors of grain qualit'!AS64:BB64)</f>
        <v>2.1049999999999995</v>
      </c>
      <c r="AY65" s="147">
        <f>STDEV('Lab descriptors of grain qualit'!AS64:BB64)</f>
        <v>0.08422852512328996</v>
      </c>
      <c r="AZ65" s="146">
        <f>AVERAGE('Lab descriptors of grain qualit'!BC64:BL64)</f>
        <v>3.4065165678969778</v>
      </c>
      <c r="BA65" s="147">
        <f>STDEV('Lab descriptors of grain qualit'!BC64:BL64)</f>
        <v>0.14897825924635447</v>
      </c>
      <c r="BB65" s="151" t="str">
        <f t="shared" si="10"/>
        <v>Long B</v>
      </c>
      <c r="BC65" s="133">
        <f>'Lab descriptors of grain qualit'!BM64</f>
        <v>23.59</v>
      </c>
      <c r="BD65" s="152">
        <f>'Lab descriptors of grain qualit'!BO64</f>
        <v>0.7032640949554896</v>
      </c>
      <c r="BE65" s="152">
        <f>'Lab descriptors of grain qualit'!BQ64</f>
        <v>0.6545146248410344</v>
      </c>
      <c r="BF65" s="130" t="s">
        <v>183</v>
      </c>
      <c r="BG65" s="386">
        <v>21.99</v>
      </c>
      <c r="BH65" s="153"/>
      <c r="BI65" s="154" t="str">
        <f t="shared" si="5"/>
        <v>Intermediate</v>
      </c>
      <c r="BJ65" s="154">
        <f>'Lab descriptors of grain qu (2)'!E64</f>
        <v>5</v>
      </c>
      <c r="BK65" s="155">
        <f>'Lab descriptors of grain qu (2)'!F64</f>
        <v>0.56</v>
      </c>
      <c r="BL65" s="154">
        <f>'Lab descriptors of grain qu (2)'!G64</f>
        <v>7</v>
      </c>
      <c r="BM65" s="156">
        <f>'Lab descriptors of grain qu (2)'!H64</f>
        <v>0</v>
      </c>
      <c r="BN65" s="157">
        <f>'Lab descriptors of grain qu (2)'!I64</f>
        <v>9</v>
      </c>
      <c r="BO65" s="158">
        <f>'Lab descriptors of grain qu (2)'!K64</f>
        <v>0</v>
      </c>
      <c r="BP65" s="140"/>
      <c r="BQ65" s="478" t="s">
        <v>183</v>
      </c>
      <c r="BR65" s="480">
        <v>12</v>
      </c>
      <c r="BS65" s="483" t="s">
        <v>408</v>
      </c>
    </row>
    <row r="66" spans="1:71" ht="21">
      <c r="A66" s="194">
        <v>1647</v>
      </c>
      <c r="B66" s="130" t="s">
        <v>184</v>
      </c>
      <c r="C66" s="127"/>
      <c r="D66" s="93"/>
      <c r="E66" s="128">
        <f>'Agronomic traits'!F65</f>
        <v>103</v>
      </c>
      <c r="F66" s="128">
        <f>'Agronomic traits'!H65</f>
        <v>153</v>
      </c>
      <c r="G66" s="129">
        <f>'Agronomic traits'!I65</f>
        <v>55</v>
      </c>
      <c r="H66" s="129">
        <f>'Agronomic traits'!J65</f>
        <v>9</v>
      </c>
      <c r="I66" s="129">
        <f>'Agronomic traits'!K65</f>
        <v>4</v>
      </c>
      <c r="J66" s="130">
        <f>'Agronomic traits'!L65</f>
        <v>3</v>
      </c>
      <c r="K66" s="191" t="s">
        <v>184</v>
      </c>
      <c r="L66" s="132">
        <f>'Field plant descriptors'!C65</f>
        <v>2</v>
      </c>
      <c r="M66" s="128"/>
      <c r="N66" s="128">
        <f>'Field plant descriptors'!E65</f>
        <v>2</v>
      </c>
      <c r="O66" s="128">
        <f>'Field plant descriptors'!F65</f>
        <v>3</v>
      </c>
      <c r="P66" s="133">
        <f>AVERAGE('Field plant descriptors'!G65:L65)</f>
        <v>20.116666666666667</v>
      </c>
      <c r="Q66" s="134">
        <f>STDEV('Field plant descriptors'!G65:L65)</f>
        <v>0.9516652072376287</v>
      </c>
      <c r="R66" s="135">
        <f>'Field plant descriptors'!M65</f>
        <v>5</v>
      </c>
      <c r="S66" s="136">
        <f>'Diseases (blast)'!C71</f>
        <v>5</v>
      </c>
      <c r="T66" s="137">
        <f>'Diseases (blast)'!D71</f>
        <v>1</v>
      </c>
      <c r="U66" s="138"/>
      <c r="V66" s="138"/>
      <c r="W66" s="138"/>
      <c r="X66" s="139"/>
      <c r="Y66" s="130" t="s">
        <v>184</v>
      </c>
      <c r="Z66" s="140"/>
      <c r="AA66" s="141"/>
      <c r="AB66" s="142"/>
      <c r="AC66" s="143"/>
      <c r="AD66" s="144">
        <f>'Field grain descriptors'!C65</f>
        <v>1</v>
      </c>
      <c r="AE66" s="145" t="str">
        <f t="shared" si="2"/>
        <v>Absent</v>
      </c>
      <c r="AF66" s="144">
        <f>'Field grain descriptors'!D65</f>
        <v>1</v>
      </c>
      <c r="AG66" s="146">
        <f>AVERAGE('Field grain descriptors'!E65:H65)</f>
        <v>2.3949999999999996</v>
      </c>
      <c r="AH66" s="147">
        <f>STDEV('Field grain descriptors'!E65:H65)</f>
        <v>0.08062257748300171</v>
      </c>
      <c r="AI66" s="148" t="str">
        <f t="shared" si="3"/>
        <v>Medium</v>
      </c>
      <c r="AJ66" s="136">
        <f>'Field grain descriptors'!I65</f>
        <v>3</v>
      </c>
      <c r="AK66" s="130" t="s">
        <v>184</v>
      </c>
      <c r="AL66" s="144">
        <f>'Lab descriptors of grain qualit'!C65</f>
        <v>1</v>
      </c>
      <c r="AM66" s="149" t="str">
        <f t="shared" si="4"/>
        <v>Straw</v>
      </c>
      <c r="AN66" s="146">
        <f>AVERAGE('Lab descriptors of grain qualit'!D65:M65)</f>
        <v>9.645999999999999</v>
      </c>
      <c r="AO66" s="147">
        <f>STDEV('Lab descriptors of grain qualit'!D65:M65)</f>
        <v>0.44101398314947055</v>
      </c>
      <c r="AP66" s="146">
        <f>AVERAGE('Lab descriptors of grain qualit'!N65:W65)</f>
        <v>2.741</v>
      </c>
      <c r="AQ66" s="149">
        <f>STDEV('Lab descriptors of grain qualit'!N65:W65)</f>
        <v>0.14410258691485928</v>
      </c>
      <c r="AR66" s="382">
        <f t="shared" si="8"/>
        <v>3.5191535935789853</v>
      </c>
      <c r="AS66" s="147">
        <f>AVERAGE('Lab descriptors of grain qualit'!X65:AG65)</f>
        <v>3.5300188537306405</v>
      </c>
      <c r="AT66" s="381">
        <f>STDEV('Lab descriptors of grain qualit'!X65:AG65)</f>
        <v>0.278307392902059</v>
      </c>
      <c r="AU66" s="130" t="s">
        <v>184</v>
      </c>
      <c r="AV66" s="146">
        <f>AVERAGE('Lab descriptors of grain qualit'!AI65:AR65)</f>
        <v>6.979000000000001</v>
      </c>
      <c r="AW66" s="147">
        <f>STDEV('Lab descriptors of grain qualit'!AI65:AR65)</f>
        <v>0.33097331211643816</v>
      </c>
      <c r="AX66" s="146">
        <f>AVERAGE('Lab descriptors of grain qualit'!AS65:BB65)</f>
        <v>2.2809999999999997</v>
      </c>
      <c r="AY66" s="147">
        <f>STDEV('Lab descriptors of grain qualit'!AS65:BB65)</f>
        <v>0.07894442489639618</v>
      </c>
      <c r="AZ66" s="146">
        <f>AVERAGE('Lab descriptors of grain qualit'!BC65:BL65)</f>
        <v>3.064773489694037</v>
      </c>
      <c r="BA66" s="147">
        <f>STDEV('Lab descriptors of grain qualit'!BC65:BL65)</f>
        <v>0.21461113316232147</v>
      </c>
      <c r="BB66" s="151" t="str">
        <f t="shared" si="10"/>
        <v>Long B</v>
      </c>
      <c r="BC66" s="133">
        <f>'Lab descriptors of grain qualit'!BM65</f>
        <v>24.66</v>
      </c>
      <c r="BD66" s="152">
        <f>'Lab descriptors of grain qualit'!BO65</f>
        <v>0.6991078669910786</v>
      </c>
      <c r="BE66" s="152">
        <f>'Lab descriptors of grain qualit'!BQ65</f>
        <v>0.6334144363341443</v>
      </c>
      <c r="BF66" s="130" t="s">
        <v>184</v>
      </c>
      <c r="BG66" s="389"/>
      <c r="BH66" s="153"/>
      <c r="BI66" s="154" t="str">
        <f t="shared" si="5"/>
        <v>High</v>
      </c>
      <c r="BJ66" s="154">
        <f>'Lab descriptors of grain qu (2)'!E65</f>
        <v>6</v>
      </c>
      <c r="BK66" s="155">
        <f>'Lab descriptors of grain qu (2)'!F65</f>
        <v>0.83</v>
      </c>
      <c r="BL66" s="154">
        <f>'Lab descriptors of grain qu (2)'!G65</f>
        <v>7</v>
      </c>
      <c r="BM66" s="156">
        <f>'Lab descriptors of grain qu (2)'!H65</f>
        <v>0</v>
      </c>
      <c r="BN66" s="157">
        <f>'Lab descriptors of grain qu (2)'!I65</f>
        <v>9</v>
      </c>
      <c r="BO66" s="158">
        <f>'Lab descriptors of grain qu (2)'!K65</f>
        <v>0</v>
      </c>
      <c r="BP66" s="140"/>
      <c r="BQ66" s="478" t="s">
        <v>184</v>
      </c>
      <c r="BR66" s="480">
        <v>1</v>
      </c>
      <c r="BS66" s="483"/>
    </row>
    <row r="67" spans="1:71" ht="21">
      <c r="A67" s="194">
        <v>1648</v>
      </c>
      <c r="B67" s="130" t="s">
        <v>185</v>
      </c>
      <c r="C67" s="127"/>
      <c r="D67" s="93"/>
      <c r="E67" s="128">
        <f>'Agronomic traits'!F66</f>
        <v>100</v>
      </c>
      <c r="F67" s="128">
        <f>'Agronomic traits'!H66</f>
        <v>144</v>
      </c>
      <c r="G67" s="129">
        <f>'Agronomic traits'!I66</f>
        <v>50</v>
      </c>
      <c r="H67" s="129">
        <f>'Agronomic traits'!J66</f>
        <v>9</v>
      </c>
      <c r="I67" s="129">
        <f>'Agronomic traits'!K66</f>
        <v>4</v>
      </c>
      <c r="J67" s="130">
        <f>'Agronomic traits'!L66</f>
        <v>2</v>
      </c>
      <c r="K67" s="191" t="s">
        <v>185</v>
      </c>
      <c r="L67" s="132">
        <f>'Field plant descriptors'!C66</f>
        <v>3</v>
      </c>
      <c r="M67" s="128"/>
      <c r="N67" s="128">
        <f>'Field plant descriptors'!E66</f>
        <v>6</v>
      </c>
      <c r="O67" s="128">
        <f>'Field plant descriptors'!F66</f>
        <v>3</v>
      </c>
      <c r="P67" s="133">
        <f>AVERAGE('Field plant descriptors'!G66:L66)</f>
        <v>18.53333333333333</v>
      </c>
      <c r="Q67" s="134">
        <f>STDEV('Field plant descriptors'!G66:L66)</f>
        <v>1.2940891262454763</v>
      </c>
      <c r="R67" s="135">
        <f>'Field plant descriptors'!M66</f>
        <v>5</v>
      </c>
      <c r="S67" s="136">
        <f>'Diseases (blast)'!C73</f>
        <v>5</v>
      </c>
      <c r="T67" s="137">
        <f>'Diseases (blast)'!D73</f>
        <v>1</v>
      </c>
      <c r="U67" s="138"/>
      <c r="V67" s="138"/>
      <c r="W67" s="138"/>
      <c r="X67" s="139"/>
      <c r="Y67" s="130" t="s">
        <v>185</v>
      </c>
      <c r="Z67" s="140"/>
      <c r="AA67" s="141"/>
      <c r="AB67" s="142"/>
      <c r="AC67" s="143"/>
      <c r="AD67" s="144">
        <f>'Field grain descriptors'!C66</f>
        <v>1</v>
      </c>
      <c r="AE67" s="145" t="str">
        <f t="shared" si="2"/>
        <v>Absent</v>
      </c>
      <c r="AF67" s="144">
        <f>'Field grain descriptors'!D66</f>
        <v>1</v>
      </c>
      <c r="AG67" s="146">
        <f>AVERAGE('Field grain descriptors'!E66:H66)</f>
        <v>2.6325000000000003</v>
      </c>
      <c r="AH67" s="147">
        <f>STDEV('Field grain descriptors'!E66:H66)</f>
        <v>0.38099650042137007</v>
      </c>
      <c r="AI67" s="148" t="str">
        <f t="shared" si="3"/>
        <v>Long</v>
      </c>
      <c r="AJ67" s="136">
        <f>'Field grain descriptors'!I66</f>
        <v>1</v>
      </c>
      <c r="AK67" s="130" t="s">
        <v>185</v>
      </c>
      <c r="AL67" s="144">
        <f>'Lab descriptors of grain qualit'!C66</f>
        <v>1</v>
      </c>
      <c r="AM67" s="149" t="str">
        <f t="shared" si="4"/>
        <v>Straw</v>
      </c>
      <c r="AN67" s="146">
        <f>AVERAGE('Lab descriptors of grain qualit'!D66:M66)</f>
        <v>8.853</v>
      </c>
      <c r="AO67" s="147">
        <f>STDEV('Lab descriptors of grain qualit'!D66:M66)</f>
        <v>0.5069308521769785</v>
      </c>
      <c r="AP67" s="146">
        <f>AVERAGE('Lab descriptors of grain qualit'!N66:W66)</f>
        <v>2.6659999999999995</v>
      </c>
      <c r="AQ67" s="149">
        <f>STDEV('Lab descriptors of grain qualit'!N66:W66)</f>
        <v>0.10813571719527236</v>
      </c>
      <c r="AR67" s="382">
        <f t="shared" si="8"/>
        <v>3.3207051762940742</v>
      </c>
      <c r="AS67" s="147">
        <f>AVERAGE('Lab descriptors of grain qualit'!X66:AG66)</f>
        <v>3.3226779946268494</v>
      </c>
      <c r="AT67" s="381">
        <f>STDEV('Lab descriptors of grain qualit'!X66:AG66)</f>
        <v>0.18158660365963716</v>
      </c>
      <c r="AU67" s="130" t="s">
        <v>185</v>
      </c>
      <c r="AV67" s="146">
        <f>AVERAGE('Lab descriptors of grain qualit'!AI66:AR66)</f>
        <v>6.409000000000001</v>
      </c>
      <c r="AW67" s="147">
        <f>STDEV('Lab descriptors of grain qualit'!AI66:AR66)</f>
        <v>0.3167350803291393</v>
      </c>
      <c r="AX67" s="146">
        <f>AVERAGE('Lab descriptors of grain qualit'!AS66:BB66)</f>
        <v>2.285</v>
      </c>
      <c r="AY67" s="147">
        <f>STDEV('Lab descriptors of grain qualit'!AS66:BB66)</f>
        <v>0.09348202441586541</v>
      </c>
      <c r="AZ67" s="146">
        <f>AVERAGE('Lab descriptors of grain qualit'!BC66:BL66)</f>
        <v>2.806950914605825</v>
      </c>
      <c r="BA67" s="147">
        <f>STDEV('Lab descriptors of grain qualit'!BC66:BL66)</f>
        <v>0.13949065850616946</v>
      </c>
      <c r="BB67" s="151" t="str">
        <f t="shared" si="10"/>
        <v>Long A</v>
      </c>
      <c r="BC67" s="133">
        <f>'Lab descriptors of grain qualit'!BM66</f>
        <v>22.86</v>
      </c>
      <c r="BD67" s="152">
        <f>'Lab descriptors of grain qualit'!BO66</f>
        <v>0.7130358705161856</v>
      </c>
      <c r="BE67" s="152">
        <f>'Lab descriptors of grain qualit'!BQ66</f>
        <v>0.6841644794400701</v>
      </c>
      <c r="BF67" s="130" t="s">
        <v>185</v>
      </c>
      <c r="BG67" s="387">
        <v>22.27</v>
      </c>
      <c r="BH67" s="153"/>
      <c r="BI67" s="154" t="str">
        <f t="shared" si="5"/>
        <v>High</v>
      </c>
      <c r="BJ67" s="154">
        <f>'Lab descriptors of grain qu (2)'!E66</f>
        <v>6</v>
      </c>
      <c r="BK67" s="155">
        <f>'Lab descriptors of grain qu (2)'!F66</f>
        <v>0.71</v>
      </c>
      <c r="BL67" s="154">
        <f>'Lab descriptors of grain qu (2)'!G66</f>
        <v>5</v>
      </c>
      <c r="BM67" s="156">
        <f>'Lab descriptors of grain qu (2)'!H66</f>
        <v>0</v>
      </c>
      <c r="BN67" s="157">
        <f>'Lab descriptors of grain qu (2)'!I66</f>
        <v>5</v>
      </c>
      <c r="BO67" s="158">
        <f>'Lab descriptors of grain qu (2)'!K66</f>
        <v>0</v>
      </c>
      <c r="BP67" s="140"/>
      <c r="BQ67" s="478" t="s">
        <v>185</v>
      </c>
      <c r="BR67" s="480">
        <v>0</v>
      </c>
      <c r="BS67" s="483"/>
    </row>
    <row r="68" spans="1:71" ht="21">
      <c r="A68" s="194">
        <v>1649</v>
      </c>
      <c r="B68" s="130" t="s">
        <v>186</v>
      </c>
      <c r="C68" s="127"/>
      <c r="D68" s="93"/>
      <c r="E68" s="128">
        <f>'Agronomic traits'!F67</f>
        <v>93</v>
      </c>
      <c r="F68" s="128">
        <f>'Agronomic traits'!H67</f>
        <v>144</v>
      </c>
      <c r="G68" s="129">
        <f>'Agronomic traits'!I67</f>
        <v>51</v>
      </c>
      <c r="H68" s="129">
        <f>'Agronomic traits'!J67</f>
        <v>9</v>
      </c>
      <c r="I68" s="129">
        <f>'Agronomic traits'!K67</f>
        <v>4</v>
      </c>
      <c r="J68" s="130">
        <f>'Agronomic traits'!L67</f>
        <v>2</v>
      </c>
      <c r="K68" s="191" t="s">
        <v>186</v>
      </c>
      <c r="L68" s="132">
        <f>'Field plant descriptors'!C67</f>
        <v>2</v>
      </c>
      <c r="M68" s="128"/>
      <c r="N68" s="128">
        <f>'Field plant descriptors'!E67</f>
        <v>2</v>
      </c>
      <c r="O68" s="128">
        <f>'Field plant descriptors'!F67</f>
        <v>3</v>
      </c>
      <c r="P68" s="133">
        <f>AVERAGE('Field plant descriptors'!G67:L67)</f>
        <v>17.083333333333332</v>
      </c>
      <c r="Q68" s="134">
        <f>STDEV('Field plant descriptors'!G67:L67)</f>
        <v>1.1338724208069895</v>
      </c>
      <c r="R68" s="135">
        <f>'Field plant descriptors'!M67</f>
        <v>5</v>
      </c>
      <c r="S68" s="136" t="str">
        <f>'Diseases (blast)'!C74</f>
        <v>4-5</v>
      </c>
      <c r="T68" s="137">
        <f>'Diseases (blast)'!D74</f>
        <v>1</v>
      </c>
      <c r="U68" s="138"/>
      <c r="V68" s="138"/>
      <c r="W68" s="138"/>
      <c r="X68" s="139"/>
      <c r="Y68" s="130" t="s">
        <v>186</v>
      </c>
      <c r="Z68" s="140"/>
      <c r="AA68" s="141"/>
      <c r="AB68" s="142"/>
      <c r="AC68" s="143"/>
      <c r="AD68" s="144">
        <f>'Field grain descriptors'!C67</f>
        <v>1</v>
      </c>
      <c r="AE68" s="145" t="str">
        <f t="shared" si="2"/>
        <v>Absent</v>
      </c>
      <c r="AF68" s="144">
        <f>'Field grain descriptors'!D67</f>
        <v>1</v>
      </c>
      <c r="AG68" s="146">
        <f>AVERAGE('Field grain descriptors'!E67:H67)</f>
        <v>2.1125</v>
      </c>
      <c r="AH68" s="147">
        <f>STDEV('Field grain descriptors'!E67:H67)</f>
        <v>0.34082008939224034</v>
      </c>
      <c r="AI68" s="148" t="str">
        <f t="shared" si="3"/>
        <v>Medium</v>
      </c>
      <c r="AJ68" s="136">
        <f>'Field grain descriptors'!I67</f>
        <v>1</v>
      </c>
      <c r="AK68" s="130" t="s">
        <v>186</v>
      </c>
      <c r="AL68" s="144">
        <f>'Lab descriptors of grain qualit'!C67</f>
        <v>1</v>
      </c>
      <c r="AM68" s="149" t="str">
        <f t="shared" si="4"/>
        <v>Straw</v>
      </c>
      <c r="AN68" s="146">
        <f>AVERAGE('Lab descriptors of grain qualit'!D67:M67)</f>
        <v>8.131</v>
      </c>
      <c r="AO68" s="147">
        <f>STDEV('Lab descriptors of grain qualit'!D67:M67)</f>
        <v>0.3747132236791219</v>
      </c>
      <c r="AP68" s="146">
        <f>AVERAGE('Lab descriptors of grain qualit'!N67:W67)</f>
        <v>2.536</v>
      </c>
      <c r="AQ68" s="149">
        <f>STDEV('Lab descriptors of grain qualit'!N67:W67)</f>
        <v>0.08016649341630536</v>
      </c>
      <c r="AR68" s="382">
        <f t="shared" si="8"/>
        <v>3.206230283911672</v>
      </c>
      <c r="AS68" s="147">
        <f>AVERAGE('Lab descriptors of grain qualit'!X67:AG67)</f>
        <v>3.207422116062466</v>
      </c>
      <c r="AT68" s="381">
        <f>STDEV('Lab descriptors of grain qualit'!X67:AG67)</f>
        <v>0.14259090713730385</v>
      </c>
      <c r="AU68" s="130" t="s">
        <v>186</v>
      </c>
      <c r="AV68" s="146">
        <f>AVERAGE('Lab descriptors of grain qualit'!AI67:AR67)</f>
        <v>6.218999999999999</v>
      </c>
      <c r="AW68" s="147">
        <f>STDEV('Lab descriptors of grain qualit'!AI67:AR67)</f>
        <v>0.28073118814981607</v>
      </c>
      <c r="AX68" s="146">
        <f>AVERAGE('Lab descriptors of grain qualit'!AS67:BB67)</f>
        <v>2.2380000000000004</v>
      </c>
      <c r="AY68" s="147">
        <f>STDEV('Lab descriptors of grain qualit'!AS67:BB67)</f>
        <v>0.0545282801244719</v>
      </c>
      <c r="AZ68" s="146">
        <f>AVERAGE('Lab descriptors of grain qualit'!BC67:BL67)</f>
        <v>2.7790374409161047</v>
      </c>
      <c r="BA68" s="147">
        <f>STDEV('Lab descriptors of grain qualit'!BC67:BL67)</f>
        <v>0.11331906188859384</v>
      </c>
      <c r="BB68" s="151" t="str">
        <f t="shared" si="10"/>
        <v>Long A</v>
      </c>
      <c r="BC68" s="133">
        <f>'Lab descriptors of grain qualit'!BM67</f>
        <v>19.74</v>
      </c>
      <c r="BD68" s="152">
        <f>'Lab descriptors of grain qualit'!BO67</f>
        <v>0.7142857142857143</v>
      </c>
      <c r="BE68" s="152">
        <f>'Lab descriptors of grain qualit'!BQ67</f>
        <v>0.6312056737588654</v>
      </c>
      <c r="BF68" s="130" t="s">
        <v>186</v>
      </c>
      <c r="BG68" s="386">
        <v>24.87</v>
      </c>
      <c r="BH68" s="153"/>
      <c r="BI68" s="154" t="str">
        <f t="shared" si="5"/>
        <v>Intermediate</v>
      </c>
      <c r="BJ68" s="154">
        <f>'Lab descriptors of grain qu (2)'!E67</f>
        <v>5</v>
      </c>
      <c r="BK68" s="155">
        <f>'Lab descriptors of grain qu (2)'!F67</f>
        <v>0.61</v>
      </c>
      <c r="BL68" s="154">
        <f>'Lab descriptors of grain qu (2)'!G67</f>
        <v>5</v>
      </c>
      <c r="BM68" s="156">
        <f>'Lab descriptors of grain qu (2)'!H67</f>
        <v>0</v>
      </c>
      <c r="BN68" s="157">
        <f>'Lab descriptors of grain qu (2)'!I67</f>
        <v>5</v>
      </c>
      <c r="BO68" s="158">
        <f>'Lab descriptors of grain qu (2)'!K67</f>
        <v>0</v>
      </c>
      <c r="BP68" s="140"/>
      <c r="BQ68" s="478" t="s">
        <v>186</v>
      </c>
      <c r="BR68" s="480">
        <v>0</v>
      </c>
      <c r="BS68" s="483"/>
    </row>
    <row r="69" spans="1:71" ht="21">
      <c r="A69" s="194">
        <v>1650</v>
      </c>
      <c r="B69" s="130" t="s">
        <v>188</v>
      </c>
      <c r="C69" s="127"/>
      <c r="D69" s="93"/>
      <c r="E69" s="128">
        <f>'Agronomic traits'!F68</f>
        <v>93</v>
      </c>
      <c r="F69" s="128">
        <f>'Agronomic traits'!H68</f>
        <v>144</v>
      </c>
      <c r="G69" s="129">
        <f>'Agronomic traits'!I68</f>
        <v>77</v>
      </c>
      <c r="H69" s="129">
        <f>'Agronomic traits'!J68</f>
        <v>9</v>
      </c>
      <c r="I69" s="129">
        <f>'Agronomic traits'!K68</f>
        <v>4</v>
      </c>
      <c r="J69" s="130">
        <f>'Agronomic traits'!L68</f>
        <v>2</v>
      </c>
      <c r="K69" s="191" t="s">
        <v>188</v>
      </c>
      <c r="L69" s="132">
        <f>'Field plant descriptors'!C68</f>
        <v>2</v>
      </c>
      <c r="M69" s="128"/>
      <c r="N69" s="128">
        <f>'Field plant descriptors'!E68</f>
        <v>2</v>
      </c>
      <c r="O69" s="128">
        <f>'Field plant descriptors'!F68</f>
        <v>2</v>
      </c>
      <c r="P69" s="133">
        <f>AVERAGE('Field plant descriptors'!G68:L68)</f>
        <v>19.566666666666666</v>
      </c>
      <c r="Q69" s="134">
        <f>STDEV('Field plant descriptors'!G68:L68)</f>
        <v>1.8917364157478933</v>
      </c>
      <c r="R69" s="135">
        <f>'Field plant descriptors'!M68</f>
        <v>5</v>
      </c>
      <c r="S69" s="136">
        <f>'Diseases (blast)'!C75</f>
        <v>3</v>
      </c>
      <c r="T69" s="137">
        <f>'Diseases (blast)'!D75</f>
        <v>1</v>
      </c>
      <c r="U69" s="138"/>
      <c r="V69" s="138"/>
      <c r="W69" s="138"/>
      <c r="X69" s="139"/>
      <c r="Y69" s="130" t="s">
        <v>188</v>
      </c>
      <c r="Z69" s="140"/>
      <c r="AA69" s="141"/>
      <c r="AB69" s="142"/>
      <c r="AC69" s="143"/>
      <c r="AD69" s="144">
        <f>'Field grain descriptors'!C68</f>
        <v>9</v>
      </c>
      <c r="AE69" s="145" t="str">
        <f aca="true" t="shared" si="11" ref="AE69:AE123">IF(AD69=1,"Absent",IF(AD69=9,"Present","?"))</f>
        <v>Present</v>
      </c>
      <c r="AF69" s="144">
        <f>'Field grain descriptors'!D68</f>
        <v>1</v>
      </c>
      <c r="AG69" s="146">
        <f>AVERAGE('Field grain descriptors'!E68:H68)</f>
        <v>2.6225</v>
      </c>
      <c r="AH69" s="147">
        <f>STDEV('Field grain descriptors'!E68:H68)</f>
        <v>0.15819292019555814</v>
      </c>
      <c r="AI69" s="148" t="str">
        <f aca="true" t="shared" si="12" ref="AI69:AI123">IF(AG69&gt;2.5,"Long",IF(AG69&gt;1.5,"Medium","Short"))</f>
        <v>Long</v>
      </c>
      <c r="AJ69" s="136">
        <f>'Field grain descriptors'!I68</f>
        <v>4</v>
      </c>
      <c r="AK69" s="130" t="s">
        <v>188</v>
      </c>
      <c r="AL69" s="144">
        <f>'Lab descriptors of grain qualit'!C68</f>
        <v>1</v>
      </c>
      <c r="AM69" s="149" t="str">
        <f aca="true" t="shared" si="13" ref="AM69:AM123">IF(AL69=1,"Straw",IF(AL69="1-3","Straw-Gold",IF(AL69=3,"Gold","Brown/Reddish")))</f>
        <v>Straw</v>
      </c>
      <c r="AN69" s="146">
        <f>AVERAGE('Lab descriptors of grain qualit'!D68:M68)</f>
        <v>8.987</v>
      </c>
      <c r="AO69" s="147">
        <f>STDEV('Lab descriptors of grain qualit'!D68:M68)</f>
        <v>0.4891727711146598</v>
      </c>
      <c r="AP69" s="146">
        <f>AVERAGE('Lab descriptors of grain qualit'!N68:W68)</f>
        <v>2.7549999999999994</v>
      </c>
      <c r="AQ69" s="149">
        <f>STDEV('Lab descriptors of grain qualit'!N68:W68)</f>
        <v>0.2291166612109399</v>
      </c>
      <c r="AR69" s="382">
        <f t="shared" si="8"/>
        <v>3.262068965517242</v>
      </c>
      <c r="AS69" s="147">
        <f>AVERAGE('Lab descriptors of grain qualit'!X68:AG68)</f>
        <v>3.286543025754958</v>
      </c>
      <c r="AT69" s="381">
        <f>STDEV('Lab descriptors of grain qualit'!X68:AG68)</f>
        <v>0.3624402764138767</v>
      </c>
      <c r="AU69" s="130" t="s">
        <v>188</v>
      </c>
      <c r="AV69" s="146">
        <f>AVERAGE('Lab descriptors of grain qualit'!AI68:AR68)</f>
        <v>6.892</v>
      </c>
      <c r="AW69" s="147">
        <f>STDEV('Lab descriptors of grain qualit'!AI68:AR68)</f>
        <v>0.3147415165214347</v>
      </c>
      <c r="AX69" s="146">
        <f>AVERAGE('Lab descriptors of grain qualit'!AS68:BB68)</f>
        <v>2.2909999999999995</v>
      </c>
      <c r="AY69" s="147">
        <f>STDEV('Lab descriptors of grain qualit'!AS68:BB68)</f>
        <v>0.147305427221441</v>
      </c>
      <c r="AZ69" s="146">
        <f>AVERAGE('Lab descriptors of grain qualit'!BC68:BL68)</f>
        <v>3.023638419035752</v>
      </c>
      <c r="BA69" s="147">
        <f>STDEV('Lab descriptors of grain qualit'!BC68:BL68)</f>
        <v>0.2862833769394662</v>
      </c>
      <c r="BB69" s="151" t="str">
        <f t="shared" si="10"/>
        <v>Long B</v>
      </c>
      <c r="BC69" s="133">
        <f>'Lab descriptors of grain qualit'!BM68</f>
        <v>22.71</v>
      </c>
      <c r="BD69" s="152">
        <f>'Lab descriptors of grain qualit'!BO68</f>
        <v>0.7186261558784677</v>
      </c>
      <c r="BE69" s="152">
        <f>'Lab descriptors of grain qualit'!BQ68</f>
        <v>0.637604579480405</v>
      </c>
      <c r="BF69" s="130" t="s">
        <v>188</v>
      </c>
      <c r="BG69" s="386">
        <v>22.23</v>
      </c>
      <c r="BH69" s="153"/>
      <c r="BI69" s="154" t="str">
        <f aca="true" t="shared" si="14" ref="BI69:BI100">IF(BJ69&lt;3,"Low",IF(BJ69&lt;4,"Low or intermediate",IF(BJ69&lt;6,"Intermediate","High")))</f>
        <v>High</v>
      </c>
      <c r="BJ69" s="154">
        <f>'Lab descriptors of grain qu (2)'!E68</f>
        <v>6</v>
      </c>
      <c r="BK69" s="155">
        <f>'Lab descriptors of grain qu (2)'!F68</f>
        <v>0.56</v>
      </c>
      <c r="BL69" s="154">
        <f>'Lab descriptors of grain qu (2)'!G68</f>
        <v>7</v>
      </c>
      <c r="BM69" s="156">
        <f>'Lab descriptors of grain qu (2)'!H68</f>
        <v>0</v>
      </c>
      <c r="BN69" s="157">
        <f>'Lab descriptors of grain qu (2)'!I68</f>
        <v>9</v>
      </c>
      <c r="BO69" s="158">
        <f>'Lab descriptors of grain qu (2)'!K68</f>
        <v>0</v>
      </c>
      <c r="BP69" s="140"/>
      <c r="BQ69" s="478" t="s">
        <v>188</v>
      </c>
      <c r="BR69" s="480">
        <v>1</v>
      </c>
      <c r="BS69" s="483"/>
    </row>
    <row r="70" spans="1:71" ht="21">
      <c r="A70" s="194">
        <v>1651</v>
      </c>
      <c r="B70" s="126" t="s">
        <v>189</v>
      </c>
      <c r="C70" s="127"/>
      <c r="D70" s="93"/>
      <c r="E70" s="128">
        <f>'Agronomic traits'!F69</f>
        <v>90</v>
      </c>
      <c r="F70" s="128">
        <f>'Agronomic traits'!H69</f>
        <v>123</v>
      </c>
      <c r="G70" s="129">
        <f>'Agronomic traits'!I69</f>
        <v>65</v>
      </c>
      <c r="H70" s="129">
        <f>'Agronomic traits'!J69</f>
        <v>9</v>
      </c>
      <c r="I70" s="129">
        <f>'Agronomic traits'!K69</f>
        <v>4</v>
      </c>
      <c r="J70" s="130">
        <f>'Agronomic traits'!L69</f>
        <v>3</v>
      </c>
      <c r="K70" s="131" t="s">
        <v>189</v>
      </c>
      <c r="L70" s="132">
        <f>'Field plant descriptors'!C69</f>
        <v>2</v>
      </c>
      <c r="M70" s="128"/>
      <c r="N70" s="128">
        <f>'Field plant descriptors'!E69</f>
        <v>4</v>
      </c>
      <c r="O70" s="128">
        <f>'Field plant descriptors'!F69</f>
        <v>3</v>
      </c>
      <c r="P70" s="133">
        <f>AVERAGE('Field plant descriptors'!G69:L69)</f>
        <v>19.283333333333335</v>
      </c>
      <c r="Q70" s="134">
        <f>STDEV('Field plant descriptors'!G69:L69)</f>
        <v>0.6306081720582489</v>
      </c>
      <c r="R70" s="135">
        <f>'Field plant descriptors'!M69</f>
        <v>1</v>
      </c>
      <c r="S70" s="136">
        <f>'Diseases (blast)'!C76</f>
        <v>4</v>
      </c>
      <c r="T70" s="137">
        <f>'Diseases (blast)'!D76</f>
        <v>1</v>
      </c>
      <c r="U70" s="138"/>
      <c r="V70" s="138"/>
      <c r="W70" s="138"/>
      <c r="X70" s="139"/>
      <c r="Y70" s="126" t="s">
        <v>189</v>
      </c>
      <c r="Z70" s="140"/>
      <c r="AA70" s="141"/>
      <c r="AB70" s="142"/>
      <c r="AC70" s="143"/>
      <c r="AD70" s="144">
        <f>'Field grain descriptors'!C69</f>
        <v>9</v>
      </c>
      <c r="AE70" s="145" t="str">
        <f t="shared" si="11"/>
        <v>Present</v>
      </c>
      <c r="AF70" s="144">
        <f>'Field grain descriptors'!D69</f>
        <v>1</v>
      </c>
      <c r="AG70" s="146">
        <f>AVERAGE('Field grain descriptors'!E69:H69)</f>
        <v>2.5949999999999998</v>
      </c>
      <c r="AH70" s="147">
        <f>STDEV('Field grain descriptors'!E69:H69)</f>
        <v>0.3605088995665268</v>
      </c>
      <c r="AI70" s="148" t="str">
        <f t="shared" si="12"/>
        <v>Long</v>
      </c>
      <c r="AJ70" s="136">
        <f>'Field grain descriptors'!I69</f>
        <v>1</v>
      </c>
      <c r="AK70" s="126" t="s">
        <v>189</v>
      </c>
      <c r="AL70" s="144">
        <f>'Lab descriptors of grain qualit'!C69</f>
        <v>3</v>
      </c>
      <c r="AM70" s="149" t="str">
        <f t="shared" si="13"/>
        <v>Gold</v>
      </c>
      <c r="AN70" s="146">
        <f>AVERAGE('Lab descriptors of grain qualit'!D69:M69)</f>
        <v>10.243999999999998</v>
      </c>
      <c r="AO70" s="147">
        <f>STDEV('Lab descriptors of grain qualit'!D69:M69)</f>
        <v>0.7180560176229176</v>
      </c>
      <c r="AP70" s="146">
        <f>AVERAGE('Lab descriptors of grain qualit'!N69:W69)</f>
        <v>2.779</v>
      </c>
      <c r="AQ70" s="149">
        <f>STDEV('Lab descriptors of grain qualit'!N69:W69)</f>
        <v>0.17168770097670794</v>
      </c>
      <c r="AR70" s="382">
        <f t="shared" si="8"/>
        <v>3.6862180640518165</v>
      </c>
      <c r="AS70" s="147">
        <f>AVERAGE('Lab descriptors of grain qualit'!X69:AG69)</f>
        <v>3.703340376045709</v>
      </c>
      <c r="AT70" s="381">
        <f>STDEV('Lab descriptors of grain qualit'!X69:AG69)</f>
        <v>0.3996700233451056</v>
      </c>
      <c r="AU70" s="126" t="s">
        <v>189</v>
      </c>
      <c r="AV70" s="146">
        <f>AVERAGE('Lab descriptors of grain qualit'!AI69:AR69)</f>
        <v>7.65</v>
      </c>
      <c r="AW70" s="147">
        <f>STDEV('Lab descriptors of grain qualit'!AI69:AR69)</f>
        <v>0.17198191119349748</v>
      </c>
      <c r="AX70" s="146">
        <f>AVERAGE('Lab descriptors of grain qualit'!AS69:BB69)</f>
        <v>2.47</v>
      </c>
      <c r="AY70" s="147">
        <f>STDEV('Lab descriptors of grain qualit'!AS69:BB69)</f>
        <v>0.06633249580709616</v>
      </c>
      <c r="AZ70" s="146">
        <f>AVERAGE('Lab descriptors of grain qualit'!BC69:BL69)</f>
        <v>3.0990433047293715</v>
      </c>
      <c r="BA70" s="147">
        <f>STDEV('Lab descriptors of grain qualit'!BC69:BL69)</f>
        <v>0.10523154911106984</v>
      </c>
      <c r="BB70" s="151" t="str">
        <f t="shared" si="10"/>
        <v>Long B</v>
      </c>
      <c r="BC70" s="133">
        <f>'Lab descriptors of grain qualit'!BM69</f>
        <v>30.8</v>
      </c>
      <c r="BD70" s="152">
        <f>'Lab descriptors of grain qualit'!BO69</f>
        <v>0.7029220779220778</v>
      </c>
      <c r="BE70" s="152">
        <f>'Lab descriptors of grain qualit'!BQ69</f>
        <v>0.6285714285714286</v>
      </c>
      <c r="BF70" s="126" t="s">
        <v>189</v>
      </c>
      <c r="BG70" s="386">
        <v>25.36</v>
      </c>
      <c r="BH70" s="153"/>
      <c r="BI70" s="154" t="str">
        <f t="shared" si="14"/>
        <v>Intermediate</v>
      </c>
      <c r="BJ70" s="154">
        <f>'Lab descriptors of grain qu (2)'!E69</f>
        <v>5</v>
      </c>
      <c r="BK70" s="155">
        <f>'Lab descriptors of grain qu (2)'!F69</f>
        <v>0.44</v>
      </c>
      <c r="BL70" s="154">
        <f>'Lab descriptors of grain qu (2)'!G69</f>
        <v>5</v>
      </c>
      <c r="BM70" s="156">
        <f>'Lab descriptors of grain qu (2)'!H69</f>
        <v>5</v>
      </c>
      <c r="BN70" s="157">
        <f>'Lab descriptors of grain qu (2)'!I69</f>
        <v>5</v>
      </c>
      <c r="BO70" s="158">
        <f>'Lab descriptors of grain qu (2)'!K69</f>
        <v>0</v>
      </c>
      <c r="BP70" s="140"/>
      <c r="BQ70" s="476" t="s">
        <v>189</v>
      </c>
      <c r="BR70" s="480">
        <v>3</v>
      </c>
      <c r="BS70" s="483"/>
    </row>
    <row r="71" spans="1:71" ht="21">
      <c r="A71" s="194">
        <v>1652</v>
      </c>
      <c r="B71" s="126" t="s">
        <v>190</v>
      </c>
      <c r="C71" s="127"/>
      <c r="D71" s="93"/>
      <c r="E71" s="128">
        <f>'Agronomic traits'!F70</f>
        <v>86</v>
      </c>
      <c r="F71" s="128">
        <f>'Agronomic traits'!H70</f>
        <v>121</v>
      </c>
      <c r="G71" s="129">
        <f>'Agronomic traits'!I70</f>
        <v>55</v>
      </c>
      <c r="H71" s="129">
        <f>'Agronomic traits'!J70</f>
        <v>9</v>
      </c>
      <c r="I71" s="129">
        <f>'Agronomic traits'!K70</f>
        <v>4</v>
      </c>
      <c r="J71" s="130">
        <f>'Agronomic traits'!L70</f>
        <v>2</v>
      </c>
      <c r="K71" s="131" t="s">
        <v>190</v>
      </c>
      <c r="L71" s="132">
        <f>'Field plant descriptors'!C70</f>
        <v>2</v>
      </c>
      <c r="M71" s="128"/>
      <c r="N71" s="128">
        <f>'Field plant descriptors'!E70</f>
        <v>2</v>
      </c>
      <c r="O71" s="128">
        <f>'Field plant descriptors'!F70</f>
        <v>2</v>
      </c>
      <c r="P71" s="133">
        <f>AVERAGE('Field plant descriptors'!G70:L70)</f>
        <v>17.6</v>
      </c>
      <c r="Q71" s="134">
        <f>STDEV('Field plant descriptors'!G70:L70)</f>
        <v>0.9507891459203034</v>
      </c>
      <c r="R71" s="135">
        <f>'Field plant descriptors'!M70</f>
        <v>1</v>
      </c>
      <c r="S71" s="136">
        <f>'Diseases (blast)'!C77</f>
        <v>3</v>
      </c>
      <c r="T71" s="137">
        <f>'Diseases (blast)'!D77</f>
        <v>1</v>
      </c>
      <c r="U71" s="138"/>
      <c r="V71" s="138"/>
      <c r="W71" s="138"/>
      <c r="X71" s="139"/>
      <c r="Y71" s="126" t="s">
        <v>190</v>
      </c>
      <c r="Z71" s="140"/>
      <c r="AA71" s="141"/>
      <c r="AB71" s="142"/>
      <c r="AC71" s="143"/>
      <c r="AD71" s="144">
        <f>'Field grain descriptors'!C70</f>
        <v>1</v>
      </c>
      <c r="AE71" s="145" t="str">
        <f t="shared" si="11"/>
        <v>Absent</v>
      </c>
      <c r="AF71" s="144">
        <f>'Field grain descriptors'!D70</f>
        <v>1</v>
      </c>
      <c r="AG71" s="146">
        <f>AVERAGE('Field grain descriptors'!E70:H70)</f>
        <v>2.545</v>
      </c>
      <c r="AH71" s="147">
        <f>STDEV('Field grain descriptors'!E70:H70)</f>
        <v>0.4559605246071197</v>
      </c>
      <c r="AI71" s="148" t="str">
        <f t="shared" si="12"/>
        <v>Long</v>
      </c>
      <c r="AJ71" s="136">
        <f>'Field grain descriptors'!I70</f>
        <v>1</v>
      </c>
      <c r="AK71" s="126" t="s">
        <v>190</v>
      </c>
      <c r="AL71" s="144">
        <f>'Lab descriptors of grain qualit'!C70</f>
        <v>1</v>
      </c>
      <c r="AM71" s="149" t="str">
        <f t="shared" si="13"/>
        <v>Straw</v>
      </c>
      <c r="AN71" s="146">
        <f>AVERAGE('Lab descriptors of grain qualit'!D70:M70)</f>
        <v>9.32</v>
      </c>
      <c r="AO71" s="147">
        <f>STDEV('Lab descriptors of grain qualit'!D70:M70)</f>
        <v>0.4138169214090118</v>
      </c>
      <c r="AP71" s="146">
        <f>AVERAGE('Lab descriptors of grain qualit'!N70:W70)</f>
        <v>2.4880000000000004</v>
      </c>
      <c r="AQ71" s="149">
        <f>STDEV('Lab descriptors of grain qualit'!N70:W70)</f>
        <v>0.14273518603810273</v>
      </c>
      <c r="AR71" s="382">
        <f t="shared" si="8"/>
        <v>3.745980707395498</v>
      </c>
      <c r="AS71" s="147">
        <f>AVERAGE('Lab descriptors of grain qualit'!X70:AG70)</f>
        <v>3.7571936306987084</v>
      </c>
      <c r="AT71" s="381">
        <f>STDEV('Lab descriptors of grain qualit'!X70:AG70)</f>
        <v>0.27184727051592905</v>
      </c>
      <c r="AU71" s="126" t="s">
        <v>190</v>
      </c>
      <c r="AV71" s="146">
        <f>AVERAGE('Lab descriptors of grain qualit'!AI70:AR70)</f>
        <v>6.848000000000001</v>
      </c>
      <c r="AW71" s="147">
        <f>STDEV('Lab descriptors of grain qualit'!AI70:AR70)</f>
        <v>0.38565384594074237</v>
      </c>
      <c r="AX71" s="146">
        <f>AVERAGE('Lab descriptors of grain qualit'!AS70:BB70)</f>
        <v>2.1900000000000004</v>
      </c>
      <c r="AY71" s="147">
        <f>STDEV('Lab descriptors of grain qualit'!AS70:BB70)</f>
        <v>0.08259674462242034</v>
      </c>
      <c r="AZ71" s="146">
        <f>AVERAGE('Lab descriptors of grain qualit'!BC70:BL70)</f>
        <v>3.129135665091493</v>
      </c>
      <c r="BA71" s="147">
        <f>STDEV('Lab descriptors of grain qualit'!BC70:BL70)</f>
        <v>0.18044364959879955</v>
      </c>
      <c r="BB71" s="151" t="str">
        <f t="shared" si="10"/>
        <v>Long B</v>
      </c>
      <c r="BC71" s="133">
        <f>'Lab descriptors of grain qualit'!BM70</f>
        <v>22.87</v>
      </c>
      <c r="BD71" s="152">
        <f>'Lab descriptors of grain qualit'!BO70</f>
        <v>0.7079142982072585</v>
      </c>
      <c r="BE71" s="152">
        <f>'Lab descriptors of grain qualit'!BQ70</f>
        <v>0.6563183209444687</v>
      </c>
      <c r="BF71" s="126" t="s">
        <v>190</v>
      </c>
      <c r="BG71" s="386">
        <v>24.41</v>
      </c>
      <c r="BH71" s="153"/>
      <c r="BI71" s="154" t="str">
        <f t="shared" si="14"/>
        <v>Intermediate</v>
      </c>
      <c r="BJ71" s="154">
        <f>'Lab descriptors of grain qu (2)'!E70</f>
        <v>5</v>
      </c>
      <c r="BK71" s="155">
        <f>'Lab descriptors of grain qu (2)'!F70</f>
        <v>0.04</v>
      </c>
      <c r="BL71" s="154">
        <f>'Lab descriptors of grain qu (2)'!G70</f>
        <v>1</v>
      </c>
      <c r="BM71" s="156">
        <f>'Lab descriptors of grain qu (2)'!H70</f>
        <v>9</v>
      </c>
      <c r="BN71" s="157">
        <f>'Lab descriptors of grain qu (2)'!I70</f>
        <v>0</v>
      </c>
      <c r="BO71" s="158">
        <f>'Lab descriptors of grain qu (2)'!K70</f>
        <v>0</v>
      </c>
      <c r="BP71" s="140"/>
      <c r="BQ71" s="476" t="s">
        <v>190</v>
      </c>
      <c r="BR71" s="480">
        <v>2.5</v>
      </c>
      <c r="BS71" s="483"/>
    </row>
    <row r="72" spans="1:71" ht="21">
      <c r="A72" s="194">
        <v>1653</v>
      </c>
      <c r="B72" s="130" t="s">
        <v>191</v>
      </c>
      <c r="C72" s="127"/>
      <c r="D72" s="93"/>
      <c r="E72" s="128">
        <f>'Agronomic traits'!F71</f>
        <v>94</v>
      </c>
      <c r="F72" s="128">
        <f>'Agronomic traits'!H71</f>
        <v>142</v>
      </c>
      <c r="G72" s="129">
        <f>'Agronomic traits'!I71</f>
        <v>60</v>
      </c>
      <c r="H72" s="129">
        <f>'Agronomic traits'!J71</f>
        <v>9</v>
      </c>
      <c r="I72" s="129">
        <f>'Agronomic traits'!K71</f>
        <v>4</v>
      </c>
      <c r="J72" s="130">
        <f>'Agronomic traits'!L71</f>
        <v>2</v>
      </c>
      <c r="K72" s="191" t="s">
        <v>191</v>
      </c>
      <c r="L72" s="132">
        <f>'Field plant descriptors'!C71</f>
        <v>2</v>
      </c>
      <c r="M72" s="128"/>
      <c r="N72" s="128">
        <f>'Field plant descriptors'!E71</f>
        <v>6</v>
      </c>
      <c r="O72" s="128">
        <f>'Field plant descriptors'!F71</f>
        <v>3</v>
      </c>
      <c r="P72" s="133">
        <f>AVERAGE('Field plant descriptors'!G71:L71)</f>
        <v>19.916666666666668</v>
      </c>
      <c r="Q72" s="134">
        <f>STDEV('Field plant descriptors'!G71:L71)</f>
        <v>1.5131644546006044</v>
      </c>
      <c r="R72" s="135">
        <f>'Field plant descriptors'!M71</f>
        <v>5</v>
      </c>
      <c r="S72" s="136">
        <f>'Diseases (blast)'!C78</f>
        <v>5</v>
      </c>
      <c r="T72" s="137">
        <f>'Diseases (blast)'!D78</f>
        <v>1</v>
      </c>
      <c r="U72" s="138"/>
      <c r="V72" s="138"/>
      <c r="W72" s="138"/>
      <c r="X72" s="139"/>
      <c r="Y72" s="130" t="s">
        <v>191</v>
      </c>
      <c r="Z72" s="140"/>
      <c r="AA72" s="141"/>
      <c r="AB72" s="142"/>
      <c r="AC72" s="143"/>
      <c r="AD72" s="144">
        <f>'Field grain descriptors'!C71</f>
        <v>9</v>
      </c>
      <c r="AE72" s="145" t="str">
        <f t="shared" si="11"/>
        <v>Present</v>
      </c>
      <c r="AF72" s="144">
        <f>'Field grain descriptors'!D71</f>
        <v>5</v>
      </c>
      <c r="AG72" s="146">
        <f>AVERAGE('Field grain descriptors'!E71:H71)</f>
        <v>2.185</v>
      </c>
      <c r="AH72" s="147">
        <f>STDEV('Field grain descriptors'!E71:H71)</f>
        <v>0.2903446228191597</v>
      </c>
      <c r="AI72" s="148" t="str">
        <f t="shared" si="12"/>
        <v>Medium</v>
      </c>
      <c r="AJ72" s="136">
        <f>'Field grain descriptors'!I71</f>
        <v>7</v>
      </c>
      <c r="AK72" s="130" t="s">
        <v>191</v>
      </c>
      <c r="AL72" s="144">
        <f>'Lab descriptors of grain qualit'!C71</f>
        <v>1</v>
      </c>
      <c r="AM72" s="149" t="str">
        <f t="shared" si="13"/>
        <v>Straw</v>
      </c>
      <c r="AN72" s="146">
        <f>AVERAGE('Lab descriptors of grain qualit'!D71:M71)</f>
        <v>8.961000000000002</v>
      </c>
      <c r="AO72" s="147">
        <f>STDEV('Lab descriptors of grain qualit'!D71:M71)</f>
        <v>0.307045056411332</v>
      </c>
      <c r="AP72" s="146">
        <f>AVERAGE('Lab descriptors of grain qualit'!N71:W71)</f>
        <v>2.678</v>
      </c>
      <c r="AQ72" s="149">
        <f>STDEV('Lab descriptors of grain qualit'!N71:W71)</f>
        <v>0.17421570282587379</v>
      </c>
      <c r="AR72" s="382">
        <f t="shared" si="8"/>
        <v>3.346153846153847</v>
      </c>
      <c r="AS72" s="147">
        <f>AVERAGE('Lab descriptors of grain qualit'!X71:AG71)</f>
        <v>3.3576983661331816</v>
      </c>
      <c r="AT72" s="381">
        <f>STDEV('Lab descriptors of grain qualit'!X71:AG71)</f>
        <v>0.22390617767845097</v>
      </c>
      <c r="AU72" s="130" t="s">
        <v>191</v>
      </c>
      <c r="AV72" s="146">
        <f>AVERAGE('Lab descriptors of grain qualit'!AI71:AR71)</f>
        <v>6.598999999999999</v>
      </c>
      <c r="AW72" s="147">
        <f>STDEV('Lab descriptors of grain qualit'!AI71:AR71)</f>
        <v>0.314799759988612</v>
      </c>
      <c r="AX72" s="146">
        <f>AVERAGE('Lab descriptors of grain qualit'!AS71:BB71)</f>
        <v>2.2466</v>
      </c>
      <c r="AY72" s="147">
        <f>STDEV('Lab descriptors of grain qualit'!AS71:BB71)</f>
        <v>0.10803312249284466</v>
      </c>
      <c r="AZ72" s="146">
        <f>AVERAGE('Lab descriptors of grain qualit'!BC71:BL71)</f>
        <v>2.9439238724306014</v>
      </c>
      <c r="BA72" s="147">
        <f>STDEV('Lab descriptors of grain qualit'!BC71:BL71)</f>
        <v>0.20608674363936405</v>
      </c>
      <c r="BB72" s="151" t="str">
        <f t="shared" si="10"/>
        <v>Long A</v>
      </c>
      <c r="BC72" s="133">
        <f>'Lab descriptors of grain qualit'!BM71</f>
        <v>22.59</v>
      </c>
      <c r="BD72" s="152">
        <f>'Lab descriptors of grain qualit'!BO71</f>
        <v>0.7215582115980522</v>
      </c>
      <c r="BE72" s="152">
        <f>'Lab descriptors of grain qualit'!BQ71</f>
        <v>0.6963258078795928</v>
      </c>
      <c r="BF72" s="130" t="s">
        <v>191</v>
      </c>
      <c r="BG72" s="387">
        <v>18.02</v>
      </c>
      <c r="BH72" s="153"/>
      <c r="BI72" s="154" t="str">
        <f t="shared" si="14"/>
        <v>Low or intermediate</v>
      </c>
      <c r="BJ72" s="154">
        <f>'Lab descriptors of grain qu (2)'!E71</f>
        <v>3</v>
      </c>
      <c r="BK72" s="155">
        <f>'Lab descriptors of grain qu (2)'!F71</f>
        <v>0.89</v>
      </c>
      <c r="BL72" s="154">
        <f>'Lab descriptors of grain qu (2)'!G71</f>
        <v>9</v>
      </c>
      <c r="BM72" s="156">
        <f>'Lab descriptors of grain qu (2)'!H71</f>
        <v>9</v>
      </c>
      <c r="BN72" s="157">
        <f>'Lab descriptors of grain qu (2)'!I71</f>
        <v>9</v>
      </c>
      <c r="BO72" s="158">
        <f>'Lab descriptors of grain qu (2)'!K71</f>
        <v>0</v>
      </c>
      <c r="BP72" s="140"/>
      <c r="BQ72" s="478" t="s">
        <v>191</v>
      </c>
      <c r="BR72" s="480">
        <v>0</v>
      </c>
      <c r="BS72" s="483"/>
    </row>
    <row r="73" spans="1:71" ht="21">
      <c r="A73" s="194">
        <v>1654</v>
      </c>
      <c r="B73" s="130" t="s">
        <v>192</v>
      </c>
      <c r="C73" s="127"/>
      <c r="D73" s="93"/>
      <c r="E73" s="128">
        <f>'Agronomic traits'!F72</f>
        <v>91</v>
      </c>
      <c r="F73" s="128">
        <f>'Agronomic traits'!H72</f>
        <v>142</v>
      </c>
      <c r="G73" s="129">
        <f>'Agronomic traits'!I72</f>
        <v>50</v>
      </c>
      <c r="H73" s="129">
        <f>'Agronomic traits'!J72</f>
        <v>9</v>
      </c>
      <c r="I73" s="129">
        <f>'Agronomic traits'!K72</f>
        <v>4</v>
      </c>
      <c r="J73" s="130">
        <f>'Agronomic traits'!L72</f>
        <v>4</v>
      </c>
      <c r="K73" s="191" t="s">
        <v>192</v>
      </c>
      <c r="L73" s="132">
        <f>'Field plant descriptors'!C72</f>
        <v>2</v>
      </c>
      <c r="M73" s="128"/>
      <c r="N73" s="128">
        <f>'Field plant descriptors'!E72</f>
        <v>4</v>
      </c>
      <c r="O73" s="128">
        <f>'Field plant descriptors'!F72</f>
        <v>3</v>
      </c>
      <c r="P73" s="133">
        <f>AVERAGE('Field plant descriptors'!G72:L72)</f>
        <v>15.066666666666665</v>
      </c>
      <c r="Q73" s="134">
        <f>STDEV('Field plant descriptors'!G72:L72)</f>
        <v>0.5853773711604496</v>
      </c>
      <c r="R73" s="135">
        <f>'Field plant descriptors'!M72</f>
        <v>5</v>
      </c>
      <c r="S73" s="136" t="str">
        <f>'Diseases (blast)'!C79</f>
        <v>1-2</v>
      </c>
      <c r="T73" s="137">
        <f>'Diseases (blast)'!D79</f>
        <v>1</v>
      </c>
      <c r="U73" s="138"/>
      <c r="V73" s="138"/>
      <c r="W73" s="138"/>
      <c r="X73" s="139"/>
      <c r="Y73" s="130" t="s">
        <v>192</v>
      </c>
      <c r="Z73" s="140"/>
      <c r="AA73" s="141"/>
      <c r="AB73" s="142"/>
      <c r="AC73" s="143"/>
      <c r="AD73" s="144">
        <f>'Field grain descriptors'!C72</f>
        <v>1</v>
      </c>
      <c r="AE73" s="145" t="str">
        <f t="shared" si="11"/>
        <v>Absent</v>
      </c>
      <c r="AF73" s="144">
        <f>'Field grain descriptors'!D72</f>
        <v>1</v>
      </c>
      <c r="AG73" s="146">
        <f>AVERAGE('Field grain descriptors'!E72:H72)</f>
        <v>2</v>
      </c>
      <c r="AH73" s="147">
        <f>STDEV('Field grain descriptors'!E72:H72)</f>
        <v>1.0155130066457383</v>
      </c>
      <c r="AI73" s="148" t="str">
        <f t="shared" si="12"/>
        <v>Medium</v>
      </c>
      <c r="AJ73" s="136">
        <f>'Field grain descriptors'!I72</f>
        <v>1</v>
      </c>
      <c r="AK73" s="130" t="s">
        <v>192</v>
      </c>
      <c r="AL73" s="144">
        <f>'Lab descriptors of grain qualit'!C72</f>
        <v>1</v>
      </c>
      <c r="AM73" s="149" t="str">
        <f t="shared" si="13"/>
        <v>Straw</v>
      </c>
      <c r="AN73" s="146">
        <f>AVERAGE('Lab descriptors of grain qualit'!D72:M72)</f>
        <v>9.049</v>
      </c>
      <c r="AO73" s="147">
        <f>STDEV('Lab descriptors of grain qualit'!D72:M72)</f>
        <v>0.25540599488313953</v>
      </c>
      <c r="AP73" s="146">
        <f>AVERAGE('Lab descriptors of grain qualit'!N72:W72)</f>
        <v>2.7830000000000004</v>
      </c>
      <c r="AQ73" s="149">
        <f>STDEV('Lab descriptors of grain qualit'!N72:W72)</f>
        <v>0.09695932709702412</v>
      </c>
      <c r="AR73" s="382">
        <f t="shared" si="8"/>
        <v>3.251527128997484</v>
      </c>
      <c r="AS73" s="147">
        <f>AVERAGE('Lab descriptors of grain qualit'!X72:AG72)</f>
        <v>3.2543885554046232</v>
      </c>
      <c r="AT73" s="381">
        <f>STDEV('Lab descriptors of grain qualit'!X72:AG72)</f>
        <v>0.12544844485630804</v>
      </c>
      <c r="AU73" s="130" t="s">
        <v>192</v>
      </c>
      <c r="AV73" s="146">
        <f>AVERAGE('Lab descriptors of grain qualit'!AI72:AR72)</f>
        <v>6.631</v>
      </c>
      <c r="AW73" s="147">
        <f>STDEV('Lab descriptors of grain qualit'!AI72:AR72)</f>
        <v>0.2246206678924248</v>
      </c>
      <c r="AX73" s="146">
        <f>AVERAGE('Lab descriptors of grain qualit'!AS72:BB72)</f>
        <v>2.466</v>
      </c>
      <c r="AY73" s="147">
        <f>STDEV('Lab descriptors of grain qualit'!AS72:BB72)</f>
        <v>0.08235424835563765</v>
      </c>
      <c r="AZ73" s="146">
        <f>AVERAGE('Lab descriptors of grain qualit'!BC72:BL72)</f>
        <v>2.69238567016262</v>
      </c>
      <c r="BA73" s="147">
        <f>STDEV('Lab descriptors of grain qualit'!BC72:BL72)</f>
        <v>0.1443833052507839</v>
      </c>
      <c r="BB73" s="151" t="str">
        <f t="shared" si="10"/>
        <v>Long A</v>
      </c>
      <c r="BC73" s="133">
        <f>'Lab descriptors of grain qualit'!BM72</f>
        <v>26.49</v>
      </c>
      <c r="BD73" s="152">
        <f>'Lab descriptors of grain qualit'!BO72</f>
        <v>0.7187617969044923</v>
      </c>
      <c r="BE73" s="152">
        <f>'Lab descriptors of grain qualit'!BQ72</f>
        <v>0.47414118535296335</v>
      </c>
      <c r="BF73" s="130" t="s">
        <v>192</v>
      </c>
      <c r="BG73" s="386">
        <v>23.38</v>
      </c>
      <c r="BH73" s="153"/>
      <c r="BI73" s="154" t="str">
        <f t="shared" si="14"/>
        <v>Intermediate</v>
      </c>
      <c r="BJ73" s="154">
        <f>'Lab descriptors of grain qu (2)'!E72</f>
        <v>5</v>
      </c>
      <c r="BK73" s="155">
        <f>'Lab descriptors of grain qu (2)'!F72</f>
        <v>1</v>
      </c>
      <c r="BL73" s="154">
        <f>'Lab descriptors of grain qu (2)'!G72</f>
        <v>7</v>
      </c>
      <c r="BM73" s="156">
        <f>'Lab descriptors of grain qu (2)'!H72</f>
        <v>9</v>
      </c>
      <c r="BN73" s="157">
        <f>'Lab descriptors of grain qu (2)'!I72</f>
        <v>0</v>
      </c>
      <c r="BO73" s="158">
        <f>'Lab descriptors of grain qu (2)'!K72</f>
        <v>0</v>
      </c>
      <c r="BP73" s="140"/>
      <c r="BQ73" s="478" t="s">
        <v>192</v>
      </c>
      <c r="BR73" s="480">
        <v>0</v>
      </c>
      <c r="BS73" s="483"/>
    </row>
    <row r="74" spans="1:71" ht="21">
      <c r="A74" s="194">
        <v>1655</v>
      </c>
      <c r="B74" s="130" t="s">
        <v>193</v>
      </c>
      <c r="C74" s="127"/>
      <c r="D74" s="93"/>
      <c r="E74" s="128">
        <f>'Agronomic traits'!F73</f>
        <v>91</v>
      </c>
      <c r="F74" s="128">
        <f>'Agronomic traits'!H73</f>
        <v>149</v>
      </c>
      <c r="G74" s="129">
        <f>'Agronomic traits'!I73</f>
        <v>60</v>
      </c>
      <c r="H74" s="129">
        <f>'Agronomic traits'!J73</f>
        <v>9</v>
      </c>
      <c r="I74" s="129">
        <f>'Agronomic traits'!K73</f>
        <v>4</v>
      </c>
      <c r="J74" s="130">
        <f>'Agronomic traits'!L73</f>
        <v>6</v>
      </c>
      <c r="K74" s="191" t="s">
        <v>193</v>
      </c>
      <c r="L74" s="132">
        <f>'Field plant descriptors'!C73</f>
        <v>4</v>
      </c>
      <c r="M74" s="128"/>
      <c r="N74" s="128">
        <f>'Field plant descriptors'!E73</f>
        <v>6</v>
      </c>
      <c r="O74" s="128">
        <f>'Field plant descriptors'!F73</f>
        <v>3</v>
      </c>
      <c r="P74" s="133">
        <f>AVERAGE('Field plant descriptors'!G73:L73)</f>
        <v>17.650000000000002</v>
      </c>
      <c r="Q74" s="134">
        <f>STDEV('Field plant descriptors'!G73:L73)</f>
        <v>0.7231873892705516</v>
      </c>
      <c r="R74" s="135">
        <f>'Field plant descriptors'!M73</f>
        <v>1</v>
      </c>
      <c r="S74" s="136">
        <f>'Diseases (blast)'!C80</f>
        <v>5</v>
      </c>
      <c r="T74" s="137">
        <f>'Diseases (blast)'!D80</f>
        <v>1</v>
      </c>
      <c r="U74" s="138"/>
      <c r="V74" s="138"/>
      <c r="W74" s="138"/>
      <c r="X74" s="139"/>
      <c r="Y74" s="130" t="s">
        <v>193</v>
      </c>
      <c r="Z74" s="140"/>
      <c r="AA74" s="141"/>
      <c r="AB74" s="142"/>
      <c r="AC74" s="143"/>
      <c r="AD74" s="144">
        <f>'Field grain descriptors'!C73</f>
        <v>1</v>
      </c>
      <c r="AE74" s="145" t="str">
        <f t="shared" si="11"/>
        <v>Absent</v>
      </c>
      <c r="AF74" s="144">
        <f>'Field grain descriptors'!D73</f>
        <v>1</v>
      </c>
      <c r="AG74" s="146">
        <f>AVERAGE('Field grain descriptors'!E73:H73)</f>
        <v>2.7399999999999998</v>
      </c>
      <c r="AH74" s="147">
        <f>STDEV('Field grain descriptors'!E73:H73)</f>
        <v>0.4398484587521799</v>
      </c>
      <c r="AI74" s="148" t="str">
        <f t="shared" si="12"/>
        <v>Long</v>
      </c>
      <c r="AJ74" s="136">
        <f>'Field grain descriptors'!I73</f>
        <v>1</v>
      </c>
      <c r="AK74" s="130" t="s">
        <v>193</v>
      </c>
      <c r="AL74" s="144">
        <f>'Lab descriptors of grain qualit'!C73</f>
        <v>1</v>
      </c>
      <c r="AM74" s="149" t="str">
        <f t="shared" si="13"/>
        <v>Straw</v>
      </c>
      <c r="AN74" s="146">
        <f>AVERAGE('Lab descriptors of grain qualit'!D73:M73)</f>
        <v>9.395000000000001</v>
      </c>
      <c r="AO74" s="147">
        <f>STDEV('Lab descriptors of grain qualit'!D73:M73)</f>
        <v>0.5533584331656279</v>
      </c>
      <c r="AP74" s="146">
        <f>AVERAGE('Lab descriptors of grain qualit'!N73:W73)</f>
        <v>2.711</v>
      </c>
      <c r="AQ74" s="149">
        <f>STDEV('Lab descriptors of grain qualit'!N73:W73)</f>
        <v>0.14556022045111294</v>
      </c>
      <c r="AR74" s="382">
        <f t="shared" si="8"/>
        <v>3.4655108815935085</v>
      </c>
      <c r="AS74" s="147">
        <f>AVERAGE('Lab descriptors of grain qualit'!X73:AG73)</f>
        <v>3.4756427117057798</v>
      </c>
      <c r="AT74" s="381">
        <f>STDEV('Lab descriptors of grain qualit'!X73:AG73)</f>
        <v>0.2928241920141915</v>
      </c>
      <c r="AU74" s="130" t="s">
        <v>193</v>
      </c>
      <c r="AV74" s="146">
        <f>AVERAGE('Lab descriptors of grain qualit'!AI73:AR73)</f>
        <v>7.006</v>
      </c>
      <c r="AW74" s="147">
        <f>STDEV('Lab descriptors of grain qualit'!AI73:AR73)</f>
        <v>0.26721610064598955</v>
      </c>
      <c r="AX74" s="146">
        <f>AVERAGE('Lab descriptors of grain qualit'!AS73:BB73)</f>
        <v>2.311</v>
      </c>
      <c r="AY74" s="147">
        <f>STDEV('Lab descriptors of grain qualit'!AS73:BB73)</f>
        <v>0.048864893101057516</v>
      </c>
      <c r="AZ74" s="146">
        <f>AVERAGE('Lab descriptors of grain qualit'!BC73:BL73)</f>
        <v>3.032805369006867</v>
      </c>
      <c r="BA74" s="147">
        <f>STDEV('Lab descriptors of grain qualit'!BC73:BL73)</f>
        <v>0.13319217918315818</v>
      </c>
      <c r="BB74" s="151" t="str">
        <f t="shared" si="10"/>
        <v>Long B</v>
      </c>
      <c r="BC74" s="133">
        <f>'Lab descriptors of grain qualit'!BM73</f>
        <v>22.32</v>
      </c>
      <c r="BD74" s="152">
        <f>'Lab descriptors of grain qualit'!BO73</f>
        <v>0.6698028673835125</v>
      </c>
      <c r="BE74" s="152">
        <f>'Lab descriptors of grain qualit'!BQ73</f>
        <v>0.6312724014336918</v>
      </c>
      <c r="BF74" s="130" t="s">
        <v>193</v>
      </c>
      <c r="BG74" s="386">
        <v>19.9</v>
      </c>
      <c r="BH74" s="153"/>
      <c r="BI74" s="154" t="str">
        <f t="shared" si="14"/>
        <v>High</v>
      </c>
      <c r="BJ74" s="154" t="str">
        <f>'Lab descriptors of grain qu (2)'!E73</f>
        <v>6-7</v>
      </c>
      <c r="BK74" s="155">
        <f>'Lab descriptors of grain qu (2)'!F73</f>
        <v>0.05</v>
      </c>
      <c r="BL74" s="154">
        <f>'Lab descriptors of grain qu (2)'!G73</f>
        <v>9</v>
      </c>
      <c r="BM74" s="156">
        <f>'Lab descriptors of grain qu (2)'!H73</f>
        <v>9</v>
      </c>
      <c r="BN74" s="157">
        <f>'Lab descriptors of grain qu (2)'!I73</f>
        <v>9</v>
      </c>
      <c r="BO74" s="158">
        <f>'Lab descriptors of grain qu (2)'!K73</f>
        <v>5</v>
      </c>
      <c r="BP74" s="140"/>
      <c r="BQ74" s="478" t="s">
        <v>193</v>
      </c>
      <c r="BR74" s="480">
        <v>0.5</v>
      </c>
      <c r="BS74" s="483"/>
    </row>
    <row r="75" spans="1:71" ht="21">
      <c r="A75" s="194">
        <v>1656</v>
      </c>
      <c r="B75" s="130" t="s">
        <v>194</v>
      </c>
      <c r="C75" s="127"/>
      <c r="D75" s="93"/>
      <c r="E75" s="128">
        <f>'Agronomic traits'!F74</f>
        <v>94</v>
      </c>
      <c r="F75" s="128">
        <f>'Agronomic traits'!H74</f>
        <v>143</v>
      </c>
      <c r="G75" s="129">
        <f>'Agronomic traits'!I74</f>
        <v>77</v>
      </c>
      <c r="H75" s="129">
        <f>'Agronomic traits'!J74</f>
        <v>9</v>
      </c>
      <c r="I75" s="129">
        <f>'Agronomic traits'!K74</f>
        <v>1</v>
      </c>
      <c r="J75" s="130">
        <f>'Agronomic traits'!L74</f>
        <v>2</v>
      </c>
      <c r="K75" s="191" t="s">
        <v>194</v>
      </c>
      <c r="L75" s="132">
        <f>'Field plant descriptors'!C74</f>
        <v>4</v>
      </c>
      <c r="M75" s="128"/>
      <c r="N75" s="128">
        <f>'Field plant descriptors'!E74</f>
        <v>6</v>
      </c>
      <c r="O75" s="128">
        <f>'Field plant descriptors'!F74</f>
        <v>3</v>
      </c>
      <c r="P75" s="133">
        <f>AVERAGE('Field plant descriptors'!G74:L74)</f>
        <v>21.083333333333332</v>
      </c>
      <c r="Q75" s="134">
        <f>STDEV('Field plant descriptors'!G74:L74)</f>
        <v>1.1089033621856812</v>
      </c>
      <c r="R75" s="135">
        <f>'Field plant descriptors'!M74</f>
        <v>5</v>
      </c>
      <c r="S75" s="136" t="str">
        <f>'Diseases (blast)'!C82</f>
        <v>4-5</v>
      </c>
      <c r="T75" s="137">
        <f>'Diseases (blast)'!D82</f>
        <v>1</v>
      </c>
      <c r="U75" s="138"/>
      <c r="V75" s="138"/>
      <c r="W75" s="138"/>
      <c r="X75" s="139"/>
      <c r="Y75" s="130" t="s">
        <v>194</v>
      </c>
      <c r="Z75" s="140"/>
      <c r="AA75" s="141"/>
      <c r="AB75" s="142"/>
      <c r="AC75" s="143"/>
      <c r="AD75" s="144">
        <f>'Field grain descriptors'!C74</f>
        <v>9</v>
      </c>
      <c r="AE75" s="145" t="str">
        <f t="shared" si="11"/>
        <v>Present</v>
      </c>
      <c r="AF75" s="144">
        <f>'Field grain descriptors'!D74</f>
        <v>5</v>
      </c>
      <c r="AG75" s="146">
        <f>AVERAGE('Field grain descriptors'!E74:H74)</f>
        <v>2.7224999999999997</v>
      </c>
      <c r="AH75" s="147">
        <f>STDEV('Field grain descriptors'!E74:H74)</f>
        <v>0.12996794476588622</v>
      </c>
      <c r="AI75" s="148" t="str">
        <f t="shared" si="12"/>
        <v>Long</v>
      </c>
      <c r="AJ75" s="136">
        <f>'Field grain descriptors'!I74</f>
        <v>9</v>
      </c>
      <c r="AK75" s="130" t="s">
        <v>194</v>
      </c>
      <c r="AL75" s="144">
        <f>'Lab descriptors of grain qualit'!C74</f>
        <v>1</v>
      </c>
      <c r="AM75" s="149" t="str">
        <f t="shared" si="13"/>
        <v>Straw</v>
      </c>
      <c r="AN75" s="146">
        <f>AVERAGE('Lab descriptors of grain qualit'!D74:M74)</f>
        <v>9.732</v>
      </c>
      <c r="AO75" s="147">
        <f>STDEV('Lab descriptors of grain qualit'!D74:M74)</f>
        <v>0.5368591787217526</v>
      </c>
      <c r="AP75" s="146">
        <f>AVERAGE('Lab descriptors of grain qualit'!N74:W74)</f>
        <v>2.4219999999999997</v>
      </c>
      <c r="AQ75" s="149">
        <f>STDEV('Lab descriptors of grain qualit'!N74:W74)</f>
        <v>0.11659998094149242</v>
      </c>
      <c r="AR75" s="382">
        <f t="shared" si="8"/>
        <v>4.018166804293972</v>
      </c>
      <c r="AS75" s="147">
        <f>AVERAGE('Lab descriptors of grain qualit'!X74:AG74)</f>
        <v>4.021536465763199</v>
      </c>
      <c r="AT75" s="381">
        <f>STDEV('Lab descriptors of grain qualit'!X74:AG74)</f>
        <v>0.20169570993423058</v>
      </c>
      <c r="AU75" s="130" t="s">
        <v>194</v>
      </c>
      <c r="AV75" s="146">
        <f>AVERAGE('Lab descriptors of grain qualit'!AI74:AR74)</f>
        <v>7.177</v>
      </c>
      <c r="AW75" s="147">
        <f>STDEV('Lab descriptors of grain qualit'!AI74:AR74)</f>
        <v>0.18385078490752338</v>
      </c>
      <c r="AX75" s="146">
        <f>AVERAGE('Lab descriptors of grain qualit'!AS74:BB74)</f>
        <v>2.101</v>
      </c>
      <c r="AY75" s="147">
        <f>STDEV('Lab descriptors of grain qualit'!AS74:BB74)</f>
        <v>0.07294594650225468</v>
      </c>
      <c r="AZ75" s="146">
        <f>AVERAGE('Lab descriptors of grain qualit'!BC74:BL74)</f>
        <v>3.419632516277818</v>
      </c>
      <c r="BA75" s="147">
        <f>STDEV('Lab descriptors of grain qualit'!BC74:BL74)</f>
        <v>0.14503389833172672</v>
      </c>
      <c r="BB75" s="151" t="str">
        <f t="shared" si="10"/>
        <v>Long B</v>
      </c>
      <c r="BC75" s="133">
        <f>'Lab descriptors of grain qualit'!BM74</f>
        <v>23.1</v>
      </c>
      <c r="BD75" s="152">
        <f>'Lab descriptors of grain qualit'!BO74</f>
        <v>0.7108225108225108</v>
      </c>
      <c r="BE75" s="152">
        <f>'Lab descriptors of grain qualit'!BQ74</f>
        <v>0.6303030303030303</v>
      </c>
      <c r="BF75" s="130" t="s">
        <v>194</v>
      </c>
      <c r="BG75" s="386">
        <v>19.14</v>
      </c>
      <c r="BH75" s="153"/>
      <c r="BI75" s="154" t="str">
        <f t="shared" si="14"/>
        <v>Intermediate</v>
      </c>
      <c r="BJ75" s="154">
        <f>'Lab descriptors of grain qu (2)'!E74</f>
        <v>5</v>
      </c>
      <c r="BK75" s="155">
        <f>'Lab descriptors of grain qu (2)'!F74</f>
        <v>0.38</v>
      </c>
      <c r="BL75" s="154">
        <f>'Lab descriptors of grain qu (2)'!G74</f>
        <v>5</v>
      </c>
      <c r="BM75" s="156">
        <f>'Lab descriptors of grain qu (2)'!H74</f>
        <v>9</v>
      </c>
      <c r="BN75" s="157">
        <f>'Lab descriptors of grain qu (2)'!I74</f>
        <v>0</v>
      </c>
      <c r="BO75" s="158">
        <f>'Lab descriptors of grain qu (2)'!K74</f>
        <v>0</v>
      </c>
      <c r="BP75" s="140"/>
      <c r="BQ75" s="478" t="s">
        <v>194</v>
      </c>
      <c r="BR75" s="480">
        <v>0</v>
      </c>
      <c r="BS75" s="483"/>
    </row>
    <row r="76" spans="1:71" ht="21">
      <c r="A76" s="196">
        <v>675</v>
      </c>
      <c r="B76" s="159" t="s">
        <v>195</v>
      </c>
      <c r="C76" s="160"/>
      <c r="D76" s="161"/>
      <c r="E76" s="162">
        <f>'Agronomic traits'!F75</f>
        <v>90</v>
      </c>
      <c r="F76" s="162">
        <f>'Agronomic traits'!H75</f>
        <v>141</v>
      </c>
      <c r="G76" s="163">
        <f>'Agronomic traits'!I75</f>
        <v>105</v>
      </c>
      <c r="H76" s="163">
        <f>'Agronomic traits'!J75</f>
        <v>9</v>
      </c>
      <c r="I76" s="163">
        <f>'Agronomic traits'!K75</f>
        <v>4</v>
      </c>
      <c r="J76" s="159">
        <f>'Agronomic traits'!L75</f>
        <v>4</v>
      </c>
      <c r="K76" s="164" t="s">
        <v>195</v>
      </c>
      <c r="L76" s="165">
        <f>'Field plant descriptors'!C75</f>
        <v>2</v>
      </c>
      <c r="M76" s="162"/>
      <c r="N76" s="162">
        <f>'Field plant descriptors'!E75</f>
        <v>4</v>
      </c>
      <c r="O76" s="162">
        <f>'Field plant descriptors'!F75</f>
        <v>3</v>
      </c>
      <c r="P76" s="166">
        <f>AVERAGE('Field plant descriptors'!G75:L75)</f>
        <v>17.45</v>
      </c>
      <c r="Q76" s="167">
        <f>STDEV('Field plant descriptors'!G75:L75)</f>
        <v>1.3838352503098081</v>
      </c>
      <c r="R76" s="168">
        <f>'Field plant descriptors'!M75</f>
        <v>3</v>
      </c>
      <c r="S76" s="169">
        <f>'Diseases (blast)'!C83</f>
        <v>5</v>
      </c>
      <c r="T76" s="170">
        <f>'Diseases (blast)'!D83</f>
        <v>2</v>
      </c>
      <c r="U76" s="171"/>
      <c r="V76" s="171"/>
      <c r="W76" s="171"/>
      <c r="X76" s="172"/>
      <c r="Y76" s="159" t="s">
        <v>195</v>
      </c>
      <c r="Z76" s="173"/>
      <c r="AA76" s="174"/>
      <c r="AB76" s="175"/>
      <c r="AC76" s="176"/>
      <c r="AD76" s="177">
        <f>'Field grain descriptors'!C75</f>
        <v>9</v>
      </c>
      <c r="AE76" s="178" t="str">
        <f t="shared" si="11"/>
        <v>Present</v>
      </c>
      <c r="AF76" s="177">
        <f>'Field grain descriptors'!D75</f>
        <v>1</v>
      </c>
      <c r="AG76" s="179">
        <f>AVERAGE('Field grain descriptors'!E75:H75)</f>
        <v>2.84</v>
      </c>
      <c r="AH76" s="180">
        <f>STDEV('Field grain descriptors'!E75:H75)</f>
        <v>0.2201514630127799</v>
      </c>
      <c r="AI76" s="181" t="str">
        <f t="shared" si="12"/>
        <v>Long</v>
      </c>
      <c r="AJ76" s="169">
        <f>'Field grain descriptors'!I75</f>
        <v>1</v>
      </c>
      <c r="AK76" s="159" t="s">
        <v>195</v>
      </c>
      <c r="AL76" s="177">
        <f>'Lab descriptors of grain qualit'!C75</f>
        <v>1</v>
      </c>
      <c r="AM76" s="182" t="str">
        <f t="shared" si="13"/>
        <v>Straw</v>
      </c>
      <c r="AN76" s="179">
        <f>AVERAGE('Lab descriptors of grain qualit'!D75:M75)</f>
        <v>9.702</v>
      </c>
      <c r="AO76" s="180">
        <f>STDEV('Lab descriptors of grain qualit'!D75:M75)</f>
        <v>0.4616347762752267</v>
      </c>
      <c r="AP76" s="179">
        <f>AVERAGE('Lab descriptors of grain qualit'!N75:W75)</f>
        <v>2.5260000000000002</v>
      </c>
      <c r="AQ76" s="182">
        <f>STDEV('Lab descriptors of grain qualit'!N75:W75)</f>
        <v>0.1640596097628952</v>
      </c>
      <c r="AR76" s="383">
        <f aca="true" t="shared" si="15" ref="AR76:AR107">AN76/AP76</f>
        <v>3.8408551068883607</v>
      </c>
      <c r="AS76" s="180">
        <f>AVERAGE('Lab descriptors of grain qualit'!X75:AG75)</f>
        <v>3.8551286248197796</v>
      </c>
      <c r="AT76" s="384">
        <f>STDEV('Lab descriptors of grain qualit'!X75:AG75)</f>
        <v>0.2985435271963653</v>
      </c>
      <c r="AU76" s="159" t="s">
        <v>195</v>
      </c>
      <c r="AV76" s="179">
        <f>AVERAGE('Lab descriptors of grain qualit'!AI75:AR75)</f>
        <v>7.541999999999999</v>
      </c>
      <c r="AW76" s="180">
        <f>STDEV('Lab descriptors of grain qualit'!AI75:AR75)</f>
        <v>0.33399268122389214</v>
      </c>
      <c r="AX76" s="179">
        <f>AVERAGE('Lab descriptors of grain qualit'!AS75:BB75)</f>
        <v>2.2779999999999996</v>
      </c>
      <c r="AY76" s="180">
        <f>STDEV('Lab descriptors of grain qualit'!AS75:BB75)</f>
        <v>0.066298986082417</v>
      </c>
      <c r="AZ76" s="179">
        <f>AVERAGE('Lab descriptors of grain qualit'!BC75:BL75)</f>
        <v>3.311549885458107</v>
      </c>
      <c r="BA76" s="180">
        <f>STDEV('Lab descriptors of grain qualit'!BC75:BL75)</f>
        <v>0.13527431683443894</v>
      </c>
      <c r="BB76" s="183" t="str">
        <f t="shared" si="10"/>
        <v>Long B</v>
      </c>
      <c r="BC76" s="166">
        <f>'Lab descriptors of grain qualit'!BM75</f>
        <v>23.69</v>
      </c>
      <c r="BD76" s="184">
        <f>'Lab descriptors of grain qualit'!BO75</f>
        <v>0.7049387927395525</v>
      </c>
      <c r="BE76" s="184">
        <f>'Lab descriptors of grain qualit'!BQ75</f>
        <v>0.6293794850147741</v>
      </c>
      <c r="BF76" s="159" t="s">
        <v>195</v>
      </c>
      <c r="BG76" s="386">
        <v>23.56</v>
      </c>
      <c r="BH76" s="185"/>
      <c r="BI76" s="186" t="str">
        <f t="shared" si="14"/>
        <v>Intermediate</v>
      </c>
      <c r="BJ76" s="186">
        <f>'Lab descriptors of grain qu (2)'!E75</f>
        <v>5</v>
      </c>
      <c r="BK76" s="187">
        <f>'Lab descriptors of grain qu (2)'!F75</f>
        <v>0.56</v>
      </c>
      <c r="BL76" s="186">
        <f>'Lab descriptors of grain qu (2)'!G75</f>
        <v>7</v>
      </c>
      <c r="BM76" s="188">
        <f>'Lab descriptors of grain qu (2)'!H75</f>
        <v>0</v>
      </c>
      <c r="BN76" s="189">
        <f>'Lab descriptors of grain qu (2)'!I75</f>
        <v>9</v>
      </c>
      <c r="BO76" s="190">
        <f>'Lab descriptors of grain qu (2)'!K75</f>
        <v>0</v>
      </c>
      <c r="BP76" s="173"/>
      <c r="BQ76" s="477" t="s">
        <v>195</v>
      </c>
      <c r="BR76" s="480">
        <v>0</v>
      </c>
      <c r="BS76" s="483"/>
    </row>
    <row r="77" spans="1:71" ht="21">
      <c r="A77" s="194">
        <v>1658</v>
      </c>
      <c r="B77" s="130" t="s">
        <v>196</v>
      </c>
      <c r="C77" s="127"/>
      <c r="D77" s="93"/>
      <c r="E77" s="128">
        <f>'Agronomic traits'!F76</f>
        <v>90</v>
      </c>
      <c r="F77" s="128">
        <f>'Agronomic traits'!H76</f>
        <v>127</v>
      </c>
      <c r="G77" s="129">
        <f>'Agronomic traits'!I76</f>
        <v>60</v>
      </c>
      <c r="H77" s="129">
        <f>'Agronomic traits'!J76</f>
        <v>9</v>
      </c>
      <c r="I77" s="129">
        <f>'Agronomic traits'!K76</f>
        <v>4</v>
      </c>
      <c r="J77" s="130">
        <f>'Agronomic traits'!L76</f>
        <v>2</v>
      </c>
      <c r="K77" s="191" t="s">
        <v>196</v>
      </c>
      <c r="L77" s="132">
        <f>'Field plant descriptors'!C76</f>
        <v>2</v>
      </c>
      <c r="M77" s="128"/>
      <c r="N77" s="128">
        <f>'Field plant descriptors'!E76</f>
        <v>2</v>
      </c>
      <c r="O77" s="128">
        <f>'Field plant descriptors'!F76</f>
        <v>2</v>
      </c>
      <c r="P77" s="133">
        <f>AVERAGE('Field plant descriptors'!G76:L76)</f>
        <v>18.599999999999998</v>
      </c>
      <c r="Q77" s="134">
        <f>STDEV('Field plant descriptors'!G76:L76)</f>
        <v>0.7266360849833804</v>
      </c>
      <c r="R77" s="135">
        <f>'Field plant descriptors'!M76</f>
        <v>3</v>
      </c>
      <c r="S77" s="136">
        <f>'Diseases (blast)'!C84</f>
        <v>4</v>
      </c>
      <c r="T77" s="137">
        <f>'Diseases (blast)'!D84</f>
        <v>1</v>
      </c>
      <c r="U77" s="138"/>
      <c r="V77" s="138"/>
      <c r="W77" s="138"/>
      <c r="X77" s="139"/>
      <c r="Y77" s="130" t="s">
        <v>196</v>
      </c>
      <c r="Z77" s="140"/>
      <c r="AA77" s="141"/>
      <c r="AB77" s="142"/>
      <c r="AC77" s="143"/>
      <c r="AD77" s="144">
        <f>'Field grain descriptors'!C76</f>
        <v>1</v>
      </c>
      <c r="AE77" s="145" t="str">
        <f t="shared" si="11"/>
        <v>Absent</v>
      </c>
      <c r="AF77" s="144">
        <f>'Field grain descriptors'!D76</f>
        <v>1</v>
      </c>
      <c r="AG77" s="146">
        <f>AVERAGE('Field grain descriptors'!E76:H76)</f>
        <v>2.5700000000000003</v>
      </c>
      <c r="AH77" s="147">
        <f>STDEV('Field grain descriptors'!E76:H76)</f>
        <v>0.23338094752285427</v>
      </c>
      <c r="AI77" s="148" t="str">
        <f t="shared" si="12"/>
        <v>Long</v>
      </c>
      <c r="AJ77" s="136">
        <f>'Field grain descriptors'!I76</f>
        <v>1</v>
      </c>
      <c r="AK77" s="130" t="s">
        <v>196</v>
      </c>
      <c r="AL77" s="144">
        <f>'Lab descriptors of grain qualit'!C76</f>
        <v>1</v>
      </c>
      <c r="AM77" s="149" t="str">
        <f t="shared" si="13"/>
        <v>Straw</v>
      </c>
      <c r="AN77" s="146">
        <f>AVERAGE('Lab descriptors of grain qualit'!D76:M76)</f>
        <v>9.968000000000002</v>
      </c>
      <c r="AO77" s="147">
        <f>STDEV('Lab descriptors of grain qualit'!D76:M76)</f>
        <v>0.48221249350142664</v>
      </c>
      <c r="AP77" s="146">
        <f>AVERAGE('Lab descriptors of grain qualit'!N76:W76)</f>
        <v>2.744</v>
      </c>
      <c r="AQ77" s="149">
        <f>STDEV('Lab descriptors of grain qualit'!N76:W76)</f>
        <v>0.1845836155001653</v>
      </c>
      <c r="AR77" s="382">
        <f t="shared" si="15"/>
        <v>3.6326530612244903</v>
      </c>
      <c r="AS77" s="147">
        <f>AVERAGE('Lab descriptors of grain qualit'!X76:AG76)</f>
        <v>3.650814878625561</v>
      </c>
      <c r="AT77" s="381">
        <f>STDEV('Lab descriptors of grain qualit'!X76:AG76)</f>
        <v>0.3322516469603374</v>
      </c>
      <c r="AU77" s="130" t="s">
        <v>196</v>
      </c>
      <c r="AV77" s="146">
        <f>AVERAGE('Lab descriptors of grain qualit'!AI76:AR76)</f>
        <v>7.2369</v>
      </c>
      <c r="AW77" s="147">
        <f>STDEV('Lab descriptors of grain qualit'!AI76:AR76)</f>
        <v>0.25084410829572373</v>
      </c>
      <c r="AX77" s="146">
        <f>AVERAGE('Lab descriptors of grain qualit'!AS76:BB76)</f>
        <v>2.35</v>
      </c>
      <c r="AY77" s="147">
        <f>STDEV('Lab descriptors of grain qualit'!AS76:BB76)</f>
        <v>0.12000000000000162</v>
      </c>
      <c r="AZ77" s="146">
        <f>AVERAGE('Lab descriptors of grain qualit'!BC76:BL76)</f>
        <v>3.08773074536574</v>
      </c>
      <c r="BA77" s="147">
        <f>STDEV('Lab descriptors of grain qualit'!BC76:BL76)</f>
        <v>0.2058201308244557</v>
      </c>
      <c r="BB77" s="151" t="str">
        <f t="shared" si="10"/>
        <v>Long B</v>
      </c>
      <c r="BC77" s="133">
        <f>'Lab descriptors of grain qualit'!BM76</f>
        <v>27.18</v>
      </c>
      <c r="BD77" s="152">
        <f>'Lab descriptors of grain qualit'!BO76</f>
        <v>0.7255334805003679</v>
      </c>
      <c r="BE77" s="152">
        <f>'Lab descriptors of grain qualit'!BQ76</f>
        <v>0.6460632818248713</v>
      </c>
      <c r="BF77" s="130" t="s">
        <v>196</v>
      </c>
      <c r="BG77" s="386">
        <v>22.33</v>
      </c>
      <c r="BH77" s="153"/>
      <c r="BI77" s="154" t="str">
        <f t="shared" si="14"/>
        <v>Intermediate</v>
      </c>
      <c r="BJ77" s="154">
        <f>'Lab descriptors of grain qu (2)'!E76</f>
        <v>5</v>
      </c>
      <c r="BK77" s="155">
        <f>'Lab descriptors of grain qu (2)'!F76</f>
        <v>0.79</v>
      </c>
      <c r="BL77" s="154">
        <f>'Lab descriptors of grain qu (2)'!G76</f>
        <v>9</v>
      </c>
      <c r="BM77" s="156">
        <f>'Lab descriptors of grain qu (2)'!H76</f>
        <v>5</v>
      </c>
      <c r="BN77" s="157">
        <f>'Lab descriptors of grain qu (2)'!I76</f>
        <v>9</v>
      </c>
      <c r="BO77" s="158">
        <f>'Lab descriptors of grain qu (2)'!K76</f>
        <v>0</v>
      </c>
      <c r="BP77" s="140"/>
      <c r="BQ77" s="478" t="s">
        <v>196</v>
      </c>
      <c r="BR77" s="480">
        <v>0</v>
      </c>
      <c r="BS77" s="483"/>
    </row>
    <row r="78" spans="1:71" ht="21">
      <c r="A78" s="194">
        <v>1659</v>
      </c>
      <c r="B78" s="130" t="s">
        <v>197</v>
      </c>
      <c r="C78" s="127"/>
      <c r="D78" s="93"/>
      <c r="E78" s="128">
        <f>'Agronomic traits'!F77</f>
        <v>87</v>
      </c>
      <c r="F78" s="128">
        <f>'Agronomic traits'!H77</f>
        <v>123</v>
      </c>
      <c r="G78" s="129">
        <f>'Agronomic traits'!I77</f>
        <v>60</v>
      </c>
      <c r="H78" s="129">
        <f>'Agronomic traits'!J77</f>
        <v>9</v>
      </c>
      <c r="I78" s="129">
        <f>'Agronomic traits'!K77</f>
        <v>4</v>
      </c>
      <c r="J78" s="130">
        <f>'Agronomic traits'!L77</f>
        <v>2</v>
      </c>
      <c r="K78" s="191" t="s">
        <v>197</v>
      </c>
      <c r="L78" s="132">
        <f>'Field plant descriptors'!C77</f>
        <v>2</v>
      </c>
      <c r="M78" s="128"/>
      <c r="N78" s="128">
        <f>'Field plant descriptors'!E77</f>
        <v>2</v>
      </c>
      <c r="O78" s="128">
        <f>'Field plant descriptors'!F77</f>
        <v>2</v>
      </c>
      <c r="P78" s="133">
        <f>AVERAGE('Field plant descriptors'!G77:L77)</f>
        <v>17.233333333333334</v>
      </c>
      <c r="Q78" s="134">
        <f>STDEV('Field plant descriptors'!G77:L77)</f>
        <v>1.6848343143070732</v>
      </c>
      <c r="R78" s="135">
        <f>'Field plant descriptors'!M77</f>
        <v>3</v>
      </c>
      <c r="S78" s="136">
        <f>'Diseases (blast)'!C85</f>
        <v>4</v>
      </c>
      <c r="T78" s="137">
        <f>'Diseases (blast)'!D85</f>
        <v>1</v>
      </c>
      <c r="U78" s="138"/>
      <c r="V78" s="138"/>
      <c r="W78" s="138"/>
      <c r="X78" s="139"/>
      <c r="Y78" s="130" t="s">
        <v>197</v>
      </c>
      <c r="Z78" s="140"/>
      <c r="AA78" s="141"/>
      <c r="AB78" s="142"/>
      <c r="AC78" s="143"/>
      <c r="AD78" s="144">
        <f>'Field grain descriptors'!C77</f>
        <v>9</v>
      </c>
      <c r="AE78" s="145" t="str">
        <f t="shared" si="11"/>
        <v>Present</v>
      </c>
      <c r="AF78" s="144">
        <f>'Field grain descriptors'!D77</f>
        <v>1</v>
      </c>
      <c r="AG78" s="146">
        <f>AVERAGE('Field grain descriptors'!E77:H77)</f>
        <v>2.57</v>
      </c>
      <c r="AH78" s="147">
        <f>STDEV('Field grain descriptors'!E77:H77)</f>
        <v>0.47916594202844026</v>
      </c>
      <c r="AI78" s="148" t="str">
        <f t="shared" si="12"/>
        <v>Long</v>
      </c>
      <c r="AJ78" s="136">
        <f>'Field grain descriptors'!I77</f>
        <v>1</v>
      </c>
      <c r="AK78" s="130" t="s">
        <v>197</v>
      </c>
      <c r="AL78" s="144">
        <f>'Lab descriptors of grain qualit'!C77</f>
        <v>1</v>
      </c>
      <c r="AM78" s="149" t="str">
        <f t="shared" si="13"/>
        <v>Straw</v>
      </c>
      <c r="AN78" s="146">
        <f>AVERAGE('Lab descriptors of grain qualit'!D77:M77)</f>
        <v>9.548999999999998</v>
      </c>
      <c r="AO78" s="147">
        <f>STDEV('Lab descriptors of grain qualit'!D77:M77)</f>
        <v>0.2642999138185312</v>
      </c>
      <c r="AP78" s="146">
        <f>AVERAGE('Lab descriptors of grain qualit'!N77:W77)</f>
        <v>2.536</v>
      </c>
      <c r="AQ78" s="149">
        <f>STDEV('Lab descriptors of grain qualit'!N77:W77)</f>
        <v>0.08221921916436752</v>
      </c>
      <c r="AR78" s="382">
        <f t="shared" si="15"/>
        <v>3.765378548895898</v>
      </c>
      <c r="AS78" s="147">
        <f>AVERAGE('Lab descriptors of grain qualit'!X77:AG77)</f>
        <v>3.769516267837812</v>
      </c>
      <c r="AT78" s="381">
        <f>STDEV('Lab descriptors of grain qualit'!X77:AG77)</f>
        <v>0.17628909187354097</v>
      </c>
      <c r="AU78" s="130" t="s">
        <v>197</v>
      </c>
      <c r="AV78" s="146">
        <f>AVERAGE('Lab descriptors of grain qualit'!AI77:AR77)</f>
        <v>7.210000000000001</v>
      </c>
      <c r="AW78" s="147">
        <f>STDEV('Lab descriptors of grain qualit'!AI77:AR77)</f>
        <v>0.18457157599872842</v>
      </c>
      <c r="AX78" s="146">
        <f>AVERAGE('Lab descriptors of grain qualit'!AS77:BB77)</f>
        <v>2.1919999999999997</v>
      </c>
      <c r="AY78" s="147">
        <f>STDEV('Lab descriptors of grain qualit'!AS77:BB77)</f>
        <v>0.056529245135205554</v>
      </c>
      <c r="AZ78" s="146">
        <f>AVERAGE('Lab descriptors of grain qualit'!BC77:BL77)</f>
        <v>3.29030572945661</v>
      </c>
      <c r="BA78" s="147">
        <f>STDEV('Lab descriptors of grain qualit'!BC77:BL77)</f>
        <v>0.08838935960977805</v>
      </c>
      <c r="BB78" s="151" t="str">
        <f t="shared" si="10"/>
        <v>Long B</v>
      </c>
      <c r="BC78" s="133">
        <f>'Lab descriptors of grain qualit'!BM77</f>
        <v>23.32</v>
      </c>
      <c r="BD78" s="152">
        <f>'Lab descriptors of grain qualit'!BO77</f>
        <v>0.7015437392795884</v>
      </c>
      <c r="BE78" s="152">
        <f>'Lab descriptors of grain qualit'!BQ77</f>
        <v>0.5951972555746141</v>
      </c>
      <c r="BF78" s="130" t="s">
        <v>197</v>
      </c>
      <c r="BG78" s="386">
        <v>24.22</v>
      </c>
      <c r="BH78" s="153"/>
      <c r="BI78" s="154" t="str">
        <f t="shared" si="14"/>
        <v>Low or intermediate</v>
      </c>
      <c r="BJ78" s="154">
        <f>'Lab descriptors of grain qu (2)'!E77</f>
        <v>3</v>
      </c>
      <c r="BK78" s="155">
        <f>'Lab descriptors of grain qu (2)'!F77</f>
        <v>0.96</v>
      </c>
      <c r="BL78" s="154">
        <f>'Lab descriptors of grain qu (2)'!G77</f>
        <v>7</v>
      </c>
      <c r="BM78" s="156">
        <f>'Lab descriptors of grain qu (2)'!H77</f>
        <v>0</v>
      </c>
      <c r="BN78" s="157">
        <f>'Lab descriptors of grain qu (2)'!I77</f>
        <v>9</v>
      </c>
      <c r="BO78" s="158">
        <f>'Lab descriptors of grain qu (2)'!K77</f>
        <v>0</v>
      </c>
      <c r="BP78" s="140"/>
      <c r="BQ78" s="478" t="s">
        <v>197</v>
      </c>
      <c r="BR78" s="480">
        <v>0</v>
      </c>
      <c r="BS78" s="483"/>
    </row>
    <row r="79" spans="1:71" ht="21">
      <c r="A79" s="194">
        <v>1660</v>
      </c>
      <c r="B79" s="130" t="s">
        <v>198</v>
      </c>
      <c r="C79" s="127"/>
      <c r="D79" s="93"/>
      <c r="E79" s="128">
        <f>'Agronomic traits'!F78</f>
        <v>100</v>
      </c>
      <c r="F79" s="128">
        <f>'Agronomic traits'!H78</f>
        <v>150</v>
      </c>
      <c r="G79" s="129">
        <f>'Agronomic traits'!I78</f>
        <v>50</v>
      </c>
      <c r="H79" s="129">
        <f>'Agronomic traits'!J78</f>
        <v>9</v>
      </c>
      <c r="I79" s="129">
        <f>'Agronomic traits'!K78</f>
        <v>4</v>
      </c>
      <c r="J79" s="130">
        <f>'Agronomic traits'!L78</f>
        <v>2</v>
      </c>
      <c r="K79" s="191" t="s">
        <v>198</v>
      </c>
      <c r="L79" s="132">
        <f>'Field plant descriptors'!C78</f>
        <v>2</v>
      </c>
      <c r="M79" s="128"/>
      <c r="N79" s="128">
        <f>'Field plant descriptors'!E78</f>
        <v>2</v>
      </c>
      <c r="O79" s="128">
        <f>'Field plant descriptors'!F78</f>
        <v>3</v>
      </c>
      <c r="P79" s="133">
        <f>AVERAGE('Field plant descriptors'!G78:L78)</f>
        <v>17.133333333333333</v>
      </c>
      <c r="Q79" s="134">
        <f>STDEV('Field plant descriptors'!G78:L78)</f>
        <v>1.09848380355229</v>
      </c>
      <c r="R79" s="135">
        <f>'Field plant descriptors'!M78</f>
        <v>3</v>
      </c>
      <c r="S79" s="136">
        <f>'Diseases (blast)'!C86</f>
        <v>5</v>
      </c>
      <c r="T79" s="137">
        <f>'Diseases (blast)'!D86</f>
        <v>1</v>
      </c>
      <c r="U79" s="138"/>
      <c r="V79" s="138"/>
      <c r="W79" s="138"/>
      <c r="X79" s="139"/>
      <c r="Y79" s="130" t="s">
        <v>198</v>
      </c>
      <c r="Z79" s="140"/>
      <c r="AA79" s="141"/>
      <c r="AB79" s="142"/>
      <c r="AC79" s="143"/>
      <c r="AD79" s="144">
        <f>'Field grain descriptors'!C78</f>
        <v>1</v>
      </c>
      <c r="AE79" s="145" t="str">
        <f t="shared" si="11"/>
        <v>Absent</v>
      </c>
      <c r="AF79" s="144">
        <f>'Field grain descriptors'!D78</f>
        <v>1</v>
      </c>
      <c r="AG79" s="146">
        <f>AVERAGE('Field grain descriptors'!E78:H78)</f>
        <v>2.7025</v>
      </c>
      <c r="AH79" s="147">
        <f>STDEV('Field grain descriptors'!E78:H78)</f>
        <v>0.253031618577597</v>
      </c>
      <c r="AI79" s="148" t="str">
        <f t="shared" si="12"/>
        <v>Long</v>
      </c>
      <c r="AJ79" s="136">
        <f>'Field grain descriptors'!I78</f>
        <v>2</v>
      </c>
      <c r="AK79" s="130" t="s">
        <v>198</v>
      </c>
      <c r="AL79" s="144">
        <f>'Lab descriptors of grain qualit'!C78</f>
        <v>1</v>
      </c>
      <c r="AM79" s="149" t="str">
        <f t="shared" si="13"/>
        <v>Straw</v>
      </c>
      <c r="AN79" s="146">
        <f>AVERAGE('Lab descriptors of grain qualit'!D78:M78)</f>
        <v>9.365000000000002</v>
      </c>
      <c r="AO79" s="147">
        <f>STDEV('Lab descriptors of grain qualit'!D78:M78)</f>
        <v>0.5918943223995748</v>
      </c>
      <c r="AP79" s="146">
        <f>AVERAGE('Lab descriptors of grain qualit'!N78:W78)</f>
        <v>2.612</v>
      </c>
      <c r="AQ79" s="149">
        <f>STDEV('Lab descriptors of grain qualit'!N78:W78)</f>
        <v>0.11914510294408485</v>
      </c>
      <c r="AR79" s="382">
        <f t="shared" si="15"/>
        <v>3.5853751914241965</v>
      </c>
      <c r="AS79" s="147">
        <f>AVERAGE('Lab descriptors of grain qualit'!X78:AG78)</f>
        <v>3.5893455710944258</v>
      </c>
      <c r="AT79" s="381">
        <f>STDEV('Lab descriptors of grain qualit'!X78:AG78)</f>
        <v>0.24423329177852865</v>
      </c>
      <c r="AU79" s="130" t="s">
        <v>198</v>
      </c>
      <c r="AV79" s="146">
        <f>AVERAGE('Lab descriptors of grain qualit'!AI78:AR78)</f>
        <v>7.173</v>
      </c>
      <c r="AW79" s="147">
        <f>STDEV('Lab descriptors of grain qualit'!AI78:AR78)</f>
        <v>0.3486179060869367</v>
      </c>
      <c r="AX79" s="146">
        <f>AVERAGE('Lab descriptors of grain qualit'!AS78:BB78)</f>
        <v>2.203</v>
      </c>
      <c r="AY79" s="147">
        <f>STDEV('Lab descriptors of grain qualit'!AS78:BB78)</f>
        <v>0.11195733314279319</v>
      </c>
      <c r="AZ79" s="146">
        <f>AVERAGE('Lab descriptors of grain qualit'!BC78:BL78)</f>
        <v>3.2592125310094375</v>
      </c>
      <c r="BA79" s="147">
        <f>STDEV('Lab descriptors of grain qualit'!BC78:BL78)</f>
        <v>0.13858666677071138</v>
      </c>
      <c r="BB79" s="151" t="str">
        <f t="shared" si="10"/>
        <v>Long B</v>
      </c>
      <c r="BC79" s="133">
        <f>'Lab descriptors of grain qualit'!BM78</f>
        <v>22.9</v>
      </c>
      <c r="BD79" s="152">
        <f>'Lab descriptors of grain qualit'!BO78</f>
        <v>0.7091703056768559</v>
      </c>
      <c r="BE79" s="152">
        <f>'Lab descriptors of grain qualit'!BQ78</f>
        <v>0.65764192139738</v>
      </c>
      <c r="BF79" s="130" t="s">
        <v>198</v>
      </c>
      <c r="BG79" s="386">
        <v>22.15</v>
      </c>
      <c r="BH79" s="153"/>
      <c r="BI79" s="154" t="str">
        <f t="shared" si="14"/>
        <v>Intermediate</v>
      </c>
      <c r="BJ79" s="154">
        <f>'Lab descriptors of grain qu (2)'!E78</f>
        <v>5</v>
      </c>
      <c r="BK79" s="155">
        <f>'Lab descriptors of grain qu (2)'!F78</f>
        <v>1</v>
      </c>
      <c r="BL79" s="154">
        <f>'Lab descriptors of grain qu (2)'!G78</f>
        <v>7</v>
      </c>
      <c r="BM79" s="156">
        <f>'Lab descriptors of grain qu (2)'!H78</f>
        <v>0</v>
      </c>
      <c r="BN79" s="157">
        <f>'Lab descriptors of grain qu (2)'!I78</f>
        <v>9</v>
      </c>
      <c r="BO79" s="158">
        <f>'Lab descriptors of grain qu (2)'!K78</f>
        <v>0</v>
      </c>
      <c r="BP79" s="140"/>
      <c r="BQ79" s="478" t="s">
        <v>198</v>
      </c>
      <c r="BR79" s="480">
        <v>0</v>
      </c>
      <c r="BS79" s="483"/>
    </row>
    <row r="80" spans="1:71" ht="21">
      <c r="A80" s="194">
        <v>1661</v>
      </c>
      <c r="B80" s="130" t="s">
        <v>199</v>
      </c>
      <c r="C80" s="127"/>
      <c r="D80" s="93"/>
      <c r="E80" s="128">
        <f>'Agronomic traits'!F79</f>
        <v>96</v>
      </c>
      <c r="F80" s="128">
        <f>'Agronomic traits'!H79</f>
        <v>144</v>
      </c>
      <c r="G80" s="129">
        <f>'Agronomic traits'!I79</f>
        <v>70</v>
      </c>
      <c r="H80" s="129">
        <f>'Agronomic traits'!J79</f>
        <v>9</v>
      </c>
      <c r="I80" s="129">
        <f>'Agronomic traits'!K79</f>
        <v>3</v>
      </c>
      <c r="J80" s="130">
        <f>'Agronomic traits'!L79</f>
        <v>2</v>
      </c>
      <c r="K80" s="191" t="s">
        <v>199</v>
      </c>
      <c r="L80" s="132">
        <f>'Field plant descriptors'!C79</f>
        <v>2</v>
      </c>
      <c r="M80" s="128"/>
      <c r="N80" s="128">
        <f>'Field plant descriptors'!E79</f>
        <v>2</v>
      </c>
      <c r="O80" s="128">
        <f>'Field plant descriptors'!F79</f>
        <v>1</v>
      </c>
      <c r="P80" s="133">
        <f>AVERAGE('Field plant descriptors'!G79:L79)</f>
        <v>19.383333333333333</v>
      </c>
      <c r="Q80" s="134">
        <f>STDEV('Field plant descriptors'!G79:L79)</f>
        <v>1.586715685517355</v>
      </c>
      <c r="R80" s="135">
        <f>'Field plant descriptors'!M79</f>
        <v>5</v>
      </c>
      <c r="S80" s="136">
        <f>'Diseases (blast)'!C87</f>
        <v>5</v>
      </c>
      <c r="T80" s="137">
        <f>'Diseases (blast)'!D87</f>
        <v>1</v>
      </c>
      <c r="U80" s="138"/>
      <c r="V80" s="138"/>
      <c r="W80" s="138"/>
      <c r="X80" s="139"/>
      <c r="Y80" s="130" t="s">
        <v>199</v>
      </c>
      <c r="Z80" s="140"/>
      <c r="AA80" s="141"/>
      <c r="AB80" s="142"/>
      <c r="AC80" s="143"/>
      <c r="AD80" s="144">
        <f>'Field grain descriptors'!C79</f>
        <v>9</v>
      </c>
      <c r="AE80" s="145" t="str">
        <f t="shared" si="11"/>
        <v>Present</v>
      </c>
      <c r="AF80" s="144">
        <f>'Field grain descriptors'!D79</f>
        <v>5</v>
      </c>
      <c r="AG80" s="146">
        <f>AVERAGE('Field grain descriptors'!E79:H79)</f>
        <v>2.6725000000000003</v>
      </c>
      <c r="AH80" s="147">
        <f>STDEV('Field grain descriptors'!E79:H79)</f>
        <v>0.48182811596391095</v>
      </c>
      <c r="AI80" s="148" t="str">
        <f t="shared" si="12"/>
        <v>Long</v>
      </c>
      <c r="AJ80" s="136">
        <f>'Field grain descriptors'!I79</f>
        <v>2</v>
      </c>
      <c r="AK80" s="130" t="s">
        <v>199</v>
      </c>
      <c r="AL80" s="144">
        <f>'Lab descriptors of grain qualit'!C79</f>
        <v>1</v>
      </c>
      <c r="AM80" s="149" t="str">
        <f t="shared" si="13"/>
        <v>Straw</v>
      </c>
      <c r="AN80" s="146">
        <f>AVERAGE('Lab descriptors of grain qualit'!D79:M79)</f>
        <v>8.855</v>
      </c>
      <c r="AO80" s="147">
        <f>STDEV('Lab descriptors of grain qualit'!D79:M79)</f>
        <v>0.42463709996492954</v>
      </c>
      <c r="AP80" s="146">
        <f>AVERAGE('Lab descriptors of grain qualit'!N79:W79)</f>
        <v>2.5919999999999996</v>
      </c>
      <c r="AQ80" s="149">
        <f>STDEV('Lab descriptors of grain qualit'!N79:W79)</f>
        <v>0.07685484153042844</v>
      </c>
      <c r="AR80" s="382">
        <f t="shared" si="15"/>
        <v>3.4162808641975313</v>
      </c>
      <c r="AS80" s="147">
        <f>AVERAGE('Lab descriptors of grain qualit'!X79:AG79)</f>
        <v>3.4202812717618856</v>
      </c>
      <c r="AT80" s="381">
        <f>STDEV('Lab descriptors of grain qualit'!X79:AG79)</f>
        <v>0.2168985081945503</v>
      </c>
      <c r="AU80" s="130" t="s">
        <v>199</v>
      </c>
      <c r="AV80" s="146">
        <f>AVERAGE('Lab descriptors of grain qualit'!AI79:AR79)</f>
        <v>6.5329999999999995</v>
      </c>
      <c r="AW80" s="147">
        <f>STDEV('Lab descriptors of grain qualit'!AI79:AR79)</f>
        <v>0.3449009519654379</v>
      </c>
      <c r="AX80" s="146">
        <f>AVERAGE('Lab descriptors of grain qualit'!AS79:BB79)</f>
        <v>2.1550000000000002</v>
      </c>
      <c r="AY80" s="147">
        <f>STDEV('Lab descriptors of grain qualit'!AS79:BB79)</f>
        <v>0.08263036837492306</v>
      </c>
      <c r="AZ80" s="146">
        <f>AVERAGE('Lab descriptors of grain qualit'!BC79:BL79)</f>
        <v>3.034577463304459</v>
      </c>
      <c r="BA80" s="147">
        <f>STDEV('Lab descriptors of grain qualit'!BC79:BL79)</f>
        <v>0.17949868902896643</v>
      </c>
      <c r="BB80" s="151" t="str">
        <f t="shared" si="10"/>
        <v>Long B</v>
      </c>
      <c r="BC80" s="133">
        <f>'Lab descriptors of grain qualit'!BM79</f>
        <v>22.3</v>
      </c>
      <c r="BD80" s="152">
        <f>'Lab descriptors of grain qualit'!BO79</f>
        <v>0.7147982062780268</v>
      </c>
      <c r="BE80" s="152">
        <f>'Lab descriptors of grain qualit'!BQ79</f>
        <v>0.5246636771300449</v>
      </c>
      <c r="BF80" s="130" t="s">
        <v>199</v>
      </c>
      <c r="BG80" s="386">
        <v>21.92</v>
      </c>
      <c r="BH80" s="153"/>
      <c r="BI80" s="154" t="str">
        <f t="shared" si="14"/>
        <v>High</v>
      </c>
      <c r="BJ80" s="154">
        <f>'Lab descriptors of grain qu (2)'!E79</f>
        <v>6</v>
      </c>
      <c r="BK80" s="155">
        <f>'Lab descriptors of grain qu (2)'!F79</f>
        <v>0.87</v>
      </c>
      <c r="BL80" s="154">
        <f>'Lab descriptors of grain qu (2)'!G79</f>
        <v>9</v>
      </c>
      <c r="BM80" s="156">
        <f>'Lab descriptors of grain qu (2)'!H79</f>
        <v>9</v>
      </c>
      <c r="BN80" s="157">
        <f>'Lab descriptors of grain qu (2)'!I79</f>
        <v>9</v>
      </c>
      <c r="BO80" s="158">
        <f>'Lab descriptors of grain qu (2)'!K79</f>
        <v>0</v>
      </c>
      <c r="BP80" s="140"/>
      <c r="BQ80" s="478" t="s">
        <v>199</v>
      </c>
      <c r="BR80" s="480">
        <v>0</v>
      </c>
      <c r="BS80" s="483"/>
    </row>
    <row r="81" spans="1:71" ht="21">
      <c r="A81" s="194">
        <v>1662</v>
      </c>
      <c r="B81" s="130" t="s">
        <v>200</v>
      </c>
      <c r="C81" s="127"/>
      <c r="D81" s="93"/>
      <c r="E81" s="128">
        <f>'Agronomic traits'!F80</f>
        <v>87</v>
      </c>
      <c r="F81" s="128">
        <f>'Agronomic traits'!H80</f>
        <v>120</v>
      </c>
      <c r="G81" s="129">
        <f>'Agronomic traits'!I80</f>
        <v>66</v>
      </c>
      <c r="H81" s="129">
        <f>'Agronomic traits'!J80</f>
        <v>9</v>
      </c>
      <c r="I81" s="129">
        <f>'Agronomic traits'!K80</f>
        <v>6</v>
      </c>
      <c r="J81" s="130">
        <f>'Agronomic traits'!L80</f>
        <v>2</v>
      </c>
      <c r="K81" s="191" t="s">
        <v>200</v>
      </c>
      <c r="L81" s="132">
        <f>'Field plant descriptors'!C80</f>
        <v>4</v>
      </c>
      <c r="M81" s="128"/>
      <c r="N81" s="128">
        <f>'Field plant descriptors'!E80</f>
        <v>4</v>
      </c>
      <c r="O81" s="128">
        <f>'Field plant descriptors'!F80</f>
        <v>1</v>
      </c>
      <c r="P81" s="133">
        <f>AVERAGE('Field plant descriptors'!G80:L80)</f>
        <v>12.366666666666667</v>
      </c>
      <c r="Q81" s="134">
        <f>STDEV('Field plant descriptors'!G80:L80)</f>
        <v>0.4885352256149542</v>
      </c>
      <c r="R81" s="135">
        <f>'Field plant descriptors'!M80</f>
        <v>5</v>
      </c>
      <c r="S81" s="136">
        <f>'Diseases (blast)'!C88</f>
        <v>4</v>
      </c>
      <c r="T81" s="137">
        <f>'Diseases (blast)'!D88</f>
        <v>1</v>
      </c>
      <c r="U81" s="138"/>
      <c r="V81" s="138"/>
      <c r="W81" s="138"/>
      <c r="X81" s="139"/>
      <c r="Y81" s="130" t="s">
        <v>200</v>
      </c>
      <c r="Z81" s="140"/>
      <c r="AA81" s="141"/>
      <c r="AB81" s="142"/>
      <c r="AC81" s="143"/>
      <c r="AD81" s="144">
        <f>'Field grain descriptors'!C80</f>
        <v>1</v>
      </c>
      <c r="AE81" s="145" t="str">
        <f t="shared" si="11"/>
        <v>Absent</v>
      </c>
      <c r="AF81" s="144">
        <f>'Field grain descriptors'!D80</f>
        <v>9</v>
      </c>
      <c r="AG81" s="146">
        <f>AVERAGE('Field grain descriptors'!E80:H80)</f>
        <v>2.635</v>
      </c>
      <c r="AH81" s="147">
        <f>STDEV('Field grain descriptors'!E80:H80)</f>
        <v>0.1515475722889272</v>
      </c>
      <c r="AI81" s="148" t="str">
        <f t="shared" si="12"/>
        <v>Long</v>
      </c>
      <c r="AJ81" s="136">
        <f>'Field grain descriptors'!I80</f>
        <v>1</v>
      </c>
      <c r="AK81" s="130" t="s">
        <v>200</v>
      </c>
      <c r="AL81" s="144" t="str">
        <f>'Lab descriptors of grain qualit'!C80</f>
        <v>1-3</v>
      </c>
      <c r="AM81" s="149" t="str">
        <f t="shared" si="13"/>
        <v>Straw-Gold</v>
      </c>
      <c r="AN81" s="146">
        <f>AVERAGE('Lab descriptors of grain qualit'!D80:M80)</f>
        <v>8.475</v>
      </c>
      <c r="AO81" s="147">
        <f>STDEV('Lab descriptors of grain qualit'!D80:M80)</f>
        <v>0.1751348686647759</v>
      </c>
      <c r="AP81" s="146">
        <f>AVERAGE('Lab descriptors of grain qualit'!N80:W80)</f>
        <v>3.404000000000001</v>
      </c>
      <c r="AQ81" s="149">
        <f>STDEV('Lab descriptors of grain qualit'!N80:W80)</f>
        <v>0.1204805194027266</v>
      </c>
      <c r="AR81" s="382">
        <f t="shared" si="15"/>
        <v>2.4897179788484127</v>
      </c>
      <c r="AS81" s="147">
        <f>AVERAGE('Lab descriptors of grain qualit'!X80:AG80)</f>
        <v>2.4915095489408814</v>
      </c>
      <c r="AT81" s="381">
        <f>STDEV('Lab descriptors of grain qualit'!X80:AG80)</f>
        <v>0.06985310810038486</v>
      </c>
      <c r="AU81" s="130" t="s">
        <v>200</v>
      </c>
      <c r="AV81" s="146">
        <f>AVERAGE('Lab descriptors of grain qualit'!AI80:AR80)</f>
        <v>6.039</v>
      </c>
      <c r="AW81" s="147">
        <f>STDEV('Lab descriptors of grain qualit'!AI80:AR80)</f>
        <v>0.2525184261703613</v>
      </c>
      <c r="AX81" s="146">
        <f>AVERAGE('Lab descriptors of grain qualit'!AS80:BB80)</f>
        <v>2.942</v>
      </c>
      <c r="AY81" s="147">
        <f>STDEV('Lab descriptors of grain qualit'!AS80:BB80)</f>
        <v>0.1309622507103126</v>
      </c>
      <c r="AZ81" s="146">
        <f>AVERAGE('Lab descriptors of grain qualit'!BC80:BL80)</f>
        <v>2.053985016212027</v>
      </c>
      <c r="BA81" s="147">
        <f>STDEV('Lab descriptors of grain qualit'!BC80:BL80)</f>
        <v>0.06670907114473376</v>
      </c>
      <c r="BB81" s="151" t="str">
        <f t="shared" si="10"/>
        <v>Long A</v>
      </c>
      <c r="BC81" s="133">
        <f>'Lab descriptors of grain qualit'!BM80</f>
        <v>30.54</v>
      </c>
      <c r="BD81" s="152">
        <f>'Lab descriptors of grain qualit'!BO80</f>
        <v>0.7030124426981008</v>
      </c>
      <c r="BE81" s="152">
        <f>'Lab descriptors of grain qualit'!BQ80</f>
        <v>0.568762278978389</v>
      </c>
      <c r="BF81" s="130" t="s">
        <v>200</v>
      </c>
      <c r="BG81" s="386">
        <v>17.17</v>
      </c>
      <c r="BH81" s="153"/>
      <c r="BI81" s="154" t="str">
        <f t="shared" si="14"/>
        <v>High</v>
      </c>
      <c r="BJ81" s="154">
        <f>'Lab descriptors of grain qu (2)'!E80</f>
        <v>6</v>
      </c>
      <c r="BK81" s="155">
        <f>'Lab descriptors of grain qu (2)'!F80</f>
        <v>0.46</v>
      </c>
      <c r="BL81" s="154">
        <f>'Lab descriptors of grain qu (2)'!G80</f>
        <v>5</v>
      </c>
      <c r="BM81" s="156">
        <f>'Lab descriptors of grain qu (2)'!H80</f>
        <v>5</v>
      </c>
      <c r="BN81" s="157">
        <f>'Lab descriptors of grain qu (2)'!I80</f>
        <v>0</v>
      </c>
      <c r="BO81" s="158">
        <f>'Lab descriptors of grain qu (2)'!K80</f>
        <v>0</v>
      </c>
      <c r="BP81" s="140"/>
      <c r="BQ81" s="478" t="s">
        <v>200</v>
      </c>
      <c r="BR81" s="480">
        <v>0</v>
      </c>
      <c r="BS81" s="483"/>
    </row>
    <row r="82" spans="1:71" ht="21">
      <c r="A82" s="194">
        <v>1663</v>
      </c>
      <c r="B82" s="130" t="s">
        <v>201</v>
      </c>
      <c r="C82" s="127"/>
      <c r="D82" s="93"/>
      <c r="E82" s="128">
        <f>'Agronomic traits'!F81</f>
        <v>92</v>
      </c>
      <c r="F82" s="128">
        <f>'Agronomic traits'!H81</f>
        <v>127</v>
      </c>
      <c r="G82" s="129">
        <f>'Agronomic traits'!I81</f>
        <v>61</v>
      </c>
      <c r="H82" s="129">
        <f>'Agronomic traits'!J81</f>
        <v>9</v>
      </c>
      <c r="I82" s="129">
        <f>'Agronomic traits'!K81</f>
        <v>6</v>
      </c>
      <c r="J82" s="130">
        <f>'Agronomic traits'!L81</f>
        <v>4</v>
      </c>
      <c r="K82" s="191" t="s">
        <v>201</v>
      </c>
      <c r="L82" s="132">
        <f>'Field plant descriptors'!C81</f>
        <v>4</v>
      </c>
      <c r="M82" s="128"/>
      <c r="N82" s="128">
        <f>'Field plant descriptors'!E81</f>
        <v>6</v>
      </c>
      <c r="O82" s="128">
        <f>'Field plant descriptors'!F81</f>
        <v>3</v>
      </c>
      <c r="P82" s="133">
        <f>AVERAGE('Field plant descriptors'!G81:L81)</f>
        <v>17.75</v>
      </c>
      <c r="Q82" s="134">
        <f>STDEV('Field plant descriptors'!G81:L81)</f>
        <v>1.5175638372075075</v>
      </c>
      <c r="R82" s="135">
        <f>'Field plant descriptors'!M81</f>
        <v>1</v>
      </c>
      <c r="S82" s="136">
        <f>'Diseases (blast)'!C89</f>
        <v>3</v>
      </c>
      <c r="T82" s="137">
        <f>'Diseases (blast)'!D89</f>
        <v>1</v>
      </c>
      <c r="U82" s="138"/>
      <c r="V82" s="138"/>
      <c r="W82" s="138"/>
      <c r="X82" s="139"/>
      <c r="Y82" s="130" t="s">
        <v>201</v>
      </c>
      <c r="Z82" s="140"/>
      <c r="AA82" s="141"/>
      <c r="AB82" s="142"/>
      <c r="AC82" s="143"/>
      <c r="AD82" s="144">
        <f>'Field grain descriptors'!C81</f>
        <v>1</v>
      </c>
      <c r="AE82" s="145" t="str">
        <f t="shared" si="11"/>
        <v>Absent</v>
      </c>
      <c r="AF82" s="144">
        <f>'Field grain descriptors'!D81</f>
        <v>3</v>
      </c>
      <c r="AG82" s="146">
        <f>AVERAGE('Field grain descriptors'!E81:H81)</f>
        <v>3.2299999999999995</v>
      </c>
      <c r="AH82" s="147">
        <f>STDEV('Field grain descriptors'!E81:H81)</f>
        <v>0.3038640046687636</v>
      </c>
      <c r="AI82" s="148" t="str">
        <f t="shared" si="12"/>
        <v>Long</v>
      </c>
      <c r="AJ82" s="136">
        <f>'Field grain descriptors'!I81</f>
        <v>1</v>
      </c>
      <c r="AK82" s="130" t="s">
        <v>201</v>
      </c>
      <c r="AL82" s="144" t="str">
        <f>'Lab descriptors of grain qualit'!C81</f>
        <v>1-3</v>
      </c>
      <c r="AM82" s="149" t="str">
        <f t="shared" si="13"/>
        <v>Straw-Gold</v>
      </c>
      <c r="AN82" s="146">
        <f>AVERAGE('Lab descriptors of grain qualit'!D81:M81)</f>
        <v>8.418000000000001</v>
      </c>
      <c r="AO82" s="147">
        <f>STDEV('Lab descriptors of grain qualit'!D81:M81)</f>
        <v>0.3100465914808336</v>
      </c>
      <c r="AP82" s="146">
        <f>AVERAGE('Lab descriptors of grain qualit'!N81:W81)</f>
        <v>3.3299999999999996</v>
      </c>
      <c r="AQ82" s="149">
        <f>STDEV('Lab descriptors of grain qualit'!N81:W81)</f>
        <v>0.10873004286868579</v>
      </c>
      <c r="AR82" s="382">
        <f t="shared" si="15"/>
        <v>2.5279279279279283</v>
      </c>
      <c r="AS82" s="147">
        <f>AVERAGE('Lab descriptors of grain qualit'!X81:AG81)</f>
        <v>2.528877572030294</v>
      </c>
      <c r="AT82" s="381">
        <f>STDEV('Lab descriptors of grain qualit'!X81:AG81)</f>
        <v>0.08614558710251265</v>
      </c>
      <c r="AU82" s="130" t="s">
        <v>201</v>
      </c>
      <c r="AV82" s="146">
        <f>AVERAGE('Lab descriptors of grain qualit'!AI81:AR81)</f>
        <v>6.069</v>
      </c>
      <c r="AW82" s="147">
        <f>STDEV('Lab descriptors of grain qualit'!AI81:AR81)</f>
        <v>0.2805728267511341</v>
      </c>
      <c r="AX82" s="146">
        <f>AVERAGE('Lab descriptors of grain qualit'!AS81:BB81)</f>
        <v>2.7990000000000004</v>
      </c>
      <c r="AY82" s="147">
        <f>STDEV('Lab descriptors of grain qualit'!AS81:BB81)</f>
        <v>0.08171087238957467</v>
      </c>
      <c r="AZ82" s="146">
        <f>AVERAGE('Lab descriptors of grain qualit'!BC81:BL81)</f>
        <v>2.167794168910022</v>
      </c>
      <c r="BA82" s="147">
        <f>STDEV('Lab descriptors of grain qualit'!BC81:BL81)</f>
        <v>0.060615894677515485</v>
      </c>
      <c r="BB82" s="151" t="str">
        <f t="shared" si="10"/>
        <v>Long A</v>
      </c>
      <c r="BC82" s="133">
        <f>'Lab descriptors of grain qualit'!BM81</f>
        <v>26.95</v>
      </c>
      <c r="BD82" s="152">
        <f>'Lab descriptors of grain qualit'!BO81</f>
        <v>0.7068645640074211</v>
      </c>
      <c r="BE82" s="152">
        <f>'Lab descriptors of grain qualit'!BQ81</f>
        <v>0.6968460111317255</v>
      </c>
      <c r="BF82" s="130" t="s">
        <v>201</v>
      </c>
      <c r="BG82" s="386">
        <v>16.69</v>
      </c>
      <c r="BH82" s="153"/>
      <c r="BI82" s="154" t="str">
        <f t="shared" si="14"/>
        <v>High</v>
      </c>
      <c r="BJ82" s="154">
        <f>'Lab descriptors of grain qu (2)'!E81</f>
        <v>6</v>
      </c>
      <c r="BK82" s="155">
        <f>'Lab descriptors of grain qu (2)'!F81</f>
        <v>0.38</v>
      </c>
      <c r="BL82" s="154">
        <f>'Lab descriptors of grain qu (2)'!G81</f>
        <v>3</v>
      </c>
      <c r="BM82" s="156">
        <f>'Lab descriptors of grain qu (2)'!H81</f>
        <v>5</v>
      </c>
      <c r="BN82" s="157">
        <f>'Lab descriptors of grain qu (2)'!I81</f>
        <v>0</v>
      </c>
      <c r="BO82" s="158">
        <f>'Lab descriptors of grain qu (2)'!K81</f>
        <v>0</v>
      </c>
      <c r="BP82" s="140"/>
      <c r="BQ82" s="478" t="s">
        <v>201</v>
      </c>
      <c r="BR82" s="480">
        <v>1</v>
      </c>
      <c r="BS82" s="483"/>
    </row>
    <row r="83" spans="1:71" ht="21">
      <c r="A83" s="194">
        <v>1665</v>
      </c>
      <c r="B83" s="130" t="s">
        <v>202</v>
      </c>
      <c r="C83" s="127"/>
      <c r="D83" s="93"/>
      <c r="E83" s="128">
        <f>'Agronomic traits'!F82</f>
        <v>89</v>
      </c>
      <c r="F83" s="128">
        <f>'Agronomic traits'!H82</f>
        <v>141</v>
      </c>
      <c r="G83" s="129">
        <f>'Agronomic traits'!I82</f>
        <v>73</v>
      </c>
      <c r="H83" s="129">
        <f>'Agronomic traits'!J82</f>
        <v>9</v>
      </c>
      <c r="I83" s="129">
        <f>'Agronomic traits'!K82</f>
        <v>2</v>
      </c>
      <c r="J83" s="130">
        <f>'Agronomic traits'!L82</f>
        <v>6</v>
      </c>
      <c r="K83" s="191" t="s">
        <v>202</v>
      </c>
      <c r="L83" s="132">
        <f>'Field plant descriptors'!C82</f>
        <v>2</v>
      </c>
      <c r="M83" s="128"/>
      <c r="N83" s="128">
        <f>'Field plant descriptors'!E82</f>
        <v>5</v>
      </c>
      <c r="O83" s="128">
        <f>'Field plant descriptors'!F82</f>
        <v>3</v>
      </c>
      <c r="P83" s="133">
        <f>AVERAGE('Field plant descriptors'!G82:L82)</f>
        <v>19.033333333333335</v>
      </c>
      <c r="Q83" s="134">
        <f>STDEV('Field plant descriptors'!G82:L82)</f>
        <v>1.2940891262454062</v>
      </c>
      <c r="R83" s="135">
        <f>'Field plant descriptors'!M82</f>
        <v>1</v>
      </c>
      <c r="S83" s="136">
        <f>'Diseases (blast)'!C90</f>
        <v>5</v>
      </c>
      <c r="T83" s="137">
        <f>'Diseases (blast)'!D90</f>
        <v>1</v>
      </c>
      <c r="U83" s="138"/>
      <c r="V83" s="138"/>
      <c r="W83" s="138"/>
      <c r="X83" s="139"/>
      <c r="Y83" s="130" t="s">
        <v>202</v>
      </c>
      <c r="Z83" s="140"/>
      <c r="AA83" s="141"/>
      <c r="AB83" s="142"/>
      <c r="AC83" s="143"/>
      <c r="AD83" s="144">
        <f>'Field grain descriptors'!C82</f>
        <v>1</v>
      </c>
      <c r="AE83" s="145" t="str">
        <f t="shared" si="11"/>
        <v>Absent</v>
      </c>
      <c r="AF83" s="144">
        <f>'Field grain descriptors'!D82</f>
        <v>7</v>
      </c>
      <c r="AG83" s="146">
        <f>AVERAGE('Field grain descriptors'!E82:H82)</f>
        <v>2.8475</v>
      </c>
      <c r="AH83" s="147">
        <f>STDEV('Field grain descriptors'!E82:H82)</f>
        <v>0.2648741839691708</v>
      </c>
      <c r="AI83" s="148" t="str">
        <f t="shared" si="12"/>
        <v>Long</v>
      </c>
      <c r="AJ83" s="136">
        <f>'Field grain descriptors'!I82</f>
        <v>2</v>
      </c>
      <c r="AK83" s="130" t="s">
        <v>202</v>
      </c>
      <c r="AL83" s="144">
        <f>'Lab descriptors of grain qualit'!C82</f>
        <v>1</v>
      </c>
      <c r="AM83" s="149" t="str">
        <f t="shared" si="13"/>
        <v>Straw</v>
      </c>
      <c r="AN83" s="146">
        <f>AVERAGE('Lab descriptors of grain qualit'!D82:M82)</f>
        <v>8.219999999999999</v>
      </c>
      <c r="AO83" s="147">
        <f>STDEV('Lab descriptors of grain qualit'!D82:M82)</f>
        <v>0.508680209518287</v>
      </c>
      <c r="AP83" s="146">
        <f>AVERAGE('Lab descriptors of grain qualit'!N82:W82)</f>
        <v>3.4509999999999996</v>
      </c>
      <c r="AQ83" s="149">
        <f>STDEV('Lab descriptors of grain qualit'!N82:W82)</f>
        <v>0.18894149594223866</v>
      </c>
      <c r="AR83" s="382">
        <f t="shared" si="15"/>
        <v>2.3819182845552014</v>
      </c>
      <c r="AS83" s="147">
        <f>AVERAGE('Lab descriptors of grain qualit'!X82:AG82)</f>
        <v>2.386639641588867</v>
      </c>
      <c r="AT83" s="381">
        <f>STDEV('Lab descriptors of grain qualit'!X82:AG82)</f>
        <v>0.16705424927026197</v>
      </c>
      <c r="AU83" s="130" t="s">
        <v>202</v>
      </c>
      <c r="AV83" s="146">
        <f>AVERAGE('Lab descriptors of grain qualit'!AI82:AR82)</f>
        <v>6.007</v>
      </c>
      <c r="AW83" s="147">
        <f>STDEV('Lab descriptors of grain qualit'!AI82:AR82)</f>
        <v>0.30328021512933406</v>
      </c>
      <c r="AX83" s="146">
        <f>AVERAGE('Lab descriptors of grain qualit'!AS82:BB82)</f>
        <v>2.893</v>
      </c>
      <c r="AY83" s="147">
        <f>STDEV('Lab descriptors of grain qualit'!AS82:BB82)</f>
        <v>0.16200480102625212</v>
      </c>
      <c r="AZ83" s="146">
        <f>AVERAGE('Lab descriptors of grain qualit'!BC82:BL82)</f>
        <v>2.0842978860779344</v>
      </c>
      <c r="BA83" s="147">
        <f>STDEV('Lab descriptors of grain qualit'!BC82:BL82)</f>
        <v>0.17774772850914486</v>
      </c>
      <c r="BB83" s="151" t="str">
        <f t="shared" si="10"/>
        <v>Long A</v>
      </c>
      <c r="BC83" s="133">
        <f>'Lab descriptors of grain qualit'!BM82</f>
        <v>30.4</v>
      </c>
      <c r="BD83" s="152">
        <f>'Lab descriptors of grain qualit'!BO82</f>
        <v>0.7029605263157895</v>
      </c>
      <c r="BE83" s="152">
        <f>'Lab descriptors of grain qualit'!BQ82</f>
        <v>0.6713815789473685</v>
      </c>
      <c r="BF83" s="130" t="s">
        <v>202</v>
      </c>
      <c r="BG83" s="386">
        <v>19.26</v>
      </c>
      <c r="BH83" s="153"/>
      <c r="BI83" s="154" t="str">
        <f t="shared" si="14"/>
        <v>High</v>
      </c>
      <c r="BJ83" s="154">
        <f>'Lab descriptors of grain qu (2)'!E82</f>
        <v>6</v>
      </c>
      <c r="BK83" s="155">
        <f>'Lab descriptors of grain qu (2)'!F82</f>
        <v>0.92</v>
      </c>
      <c r="BL83" s="154">
        <f>'Lab descriptors of grain qu (2)'!G82</f>
        <v>9</v>
      </c>
      <c r="BM83" s="156">
        <f>'Lab descriptors of grain qu (2)'!H82</f>
        <v>9</v>
      </c>
      <c r="BN83" s="157">
        <f>'Lab descriptors of grain qu (2)'!I82</f>
        <v>5</v>
      </c>
      <c r="BO83" s="158">
        <f>'Lab descriptors of grain qu (2)'!K82</f>
        <v>0</v>
      </c>
      <c r="BP83" s="140"/>
      <c r="BQ83" s="478" t="s">
        <v>202</v>
      </c>
      <c r="BR83" s="480">
        <v>1</v>
      </c>
      <c r="BS83" s="483"/>
    </row>
    <row r="84" spans="1:71" ht="21">
      <c r="A84" s="194">
        <v>1666</v>
      </c>
      <c r="B84" s="130" t="s">
        <v>203</v>
      </c>
      <c r="C84" s="127"/>
      <c r="D84" s="93"/>
      <c r="E84" s="128">
        <f>'Agronomic traits'!F83</f>
        <v>90</v>
      </c>
      <c r="F84" s="128">
        <f>'Agronomic traits'!H83</f>
        <v>123</v>
      </c>
      <c r="G84" s="129">
        <f>'Agronomic traits'!I83</f>
        <v>71</v>
      </c>
      <c r="H84" s="129">
        <f>'Agronomic traits'!J83</f>
        <v>9</v>
      </c>
      <c r="I84" s="129">
        <f>'Agronomic traits'!K83</f>
        <v>2</v>
      </c>
      <c r="J84" s="130">
        <f>'Agronomic traits'!L83</f>
        <v>4</v>
      </c>
      <c r="K84" s="191" t="s">
        <v>203</v>
      </c>
      <c r="L84" s="132">
        <f>'Field plant descriptors'!C83</f>
        <v>2</v>
      </c>
      <c r="M84" s="128"/>
      <c r="N84" s="128">
        <f>'Field plant descriptors'!E83</f>
        <v>2</v>
      </c>
      <c r="O84" s="128">
        <f>'Field plant descriptors'!F83</f>
        <v>3</v>
      </c>
      <c r="P84" s="133">
        <f>AVERAGE('Field plant descriptors'!G83:L83)</f>
        <v>20.766666666666666</v>
      </c>
      <c r="Q84" s="134">
        <f>STDEV('Field plant descriptors'!G83:L83)</f>
        <v>1.5513435037627068</v>
      </c>
      <c r="R84" s="135">
        <f>'Field plant descriptors'!M83</f>
        <v>5</v>
      </c>
      <c r="S84" s="136" t="str">
        <f>'Diseases (blast)'!C92</f>
        <v>3-4</v>
      </c>
      <c r="T84" s="137">
        <f>'Diseases (blast)'!D92</f>
        <v>1</v>
      </c>
      <c r="U84" s="138"/>
      <c r="V84" s="138"/>
      <c r="W84" s="138"/>
      <c r="X84" s="139"/>
      <c r="Y84" s="130" t="s">
        <v>203</v>
      </c>
      <c r="Z84" s="140"/>
      <c r="AA84" s="141"/>
      <c r="AB84" s="142"/>
      <c r="AC84" s="143"/>
      <c r="AD84" s="144">
        <f>'Field grain descriptors'!C83</f>
        <v>9</v>
      </c>
      <c r="AE84" s="145" t="str">
        <f t="shared" si="11"/>
        <v>Present</v>
      </c>
      <c r="AF84" s="144">
        <f>'Field grain descriptors'!D83</f>
        <v>1</v>
      </c>
      <c r="AG84" s="146">
        <f>AVERAGE('Field grain descriptors'!E83:H83)</f>
        <v>2.6525</v>
      </c>
      <c r="AH84" s="147">
        <f>STDEV('Field grain descriptors'!E83:H83)</f>
        <v>0.14008925726122376</v>
      </c>
      <c r="AI84" s="148" t="str">
        <f t="shared" si="12"/>
        <v>Long</v>
      </c>
      <c r="AJ84" s="136">
        <f>'Field grain descriptors'!I83</f>
        <v>1</v>
      </c>
      <c r="AK84" s="130" t="s">
        <v>203</v>
      </c>
      <c r="AL84" s="144">
        <f>'Lab descriptors of grain qualit'!C83</f>
        <v>1</v>
      </c>
      <c r="AM84" s="149" t="str">
        <f t="shared" si="13"/>
        <v>Straw</v>
      </c>
      <c r="AN84" s="146">
        <f>AVERAGE('Lab descriptors of grain qualit'!D83:M83)</f>
        <v>9.129000000000001</v>
      </c>
      <c r="AO84" s="147">
        <f>STDEV('Lab descriptors of grain qualit'!D83:M83)</f>
        <v>0.43803728912804246</v>
      </c>
      <c r="AP84" s="146">
        <f>AVERAGE('Lab descriptors of grain qualit'!N83:W83)</f>
        <v>2.537</v>
      </c>
      <c r="AQ84" s="149">
        <f>STDEV('Lab descriptors of grain qualit'!N83:W83)</f>
        <v>0.07660142151277018</v>
      </c>
      <c r="AR84" s="382">
        <f t="shared" si="15"/>
        <v>3.5983445013795827</v>
      </c>
      <c r="AS84" s="147">
        <f>AVERAGE('Lab descriptors of grain qualit'!X83:AG83)</f>
        <v>3.602846153811337</v>
      </c>
      <c r="AT84" s="381">
        <f>STDEV('Lab descriptors of grain qualit'!X83:AG83)</f>
        <v>0.23039539912941784</v>
      </c>
      <c r="AU84" s="130" t="s">
        <v>203</v>
      </c>
      <c r="AV84" s="146">
        <f>AVERAGE('Lab descriptors of grain qualit'!AI83:AR83)</f>
        <v>6.664</v>
      </c>
      <c r="AW84" s="147">
        <f>STDEV('Lab descriptors of grain qualit'!AI83:AR83)</f>
        <v>0.34561378573327006</v>
      </c>
      <c r="AX84" s="146">
        <f>AVERAGE('Lab descriptors of grain qualit'!AS83:BB83)</f>
        <v>2.181</v>
      </c>
      <c r="AY84" s="147">
        <f>STDEV('Lab descriptors of grain qualit'!AS83:BB83)</f>
        <v>0.08211780156173124</v>
      </c>
      <c r="AZ84" s="146">
        <f>AVERAGE('Lab descriptors of grain qualit'!BC83:BL83)</f>
        <v>3.0599905325233014</v>
      </c>
      <c r="BA84" s="147">
        <f>STDEV('Lab descriptors of grain qualit'!BC83:BL83)</f>
        <v>0.20483036832092752</v>
      </c>
      <c r="BB84" s="151" t="str">
        <f t="shared" si="10"/>
        <v>Long B</v>
      </c>
      <c r="BC84" s="133">
        <f>'Lab descriptors of grain qualit'!BM83</f>
        <v>22.84</v>
      </c>
      <c r="BD84" s="152">
        <f>'Lab descriptors of grain qualit'!BO83</f>
        <v>0.7105954465849387</v>
      </c>
      <c r="BE84" s="152">
        <f>'Lab descriptors of grain qualit'!BQ83</f>
        <v>0.4610332749562172</v>
      </c>
      <c r="BF84" s="130" t="s">
        <v>203</v>
      </c>
      <c r="BG84" s="386">
        <v>22.06</v>
      </c>
      <c r="BH84" s="153"/>
      <c r="BI84" s="154" t="str">
        <f t="shared" si="14"/>
        <v>Intermediate</v>
      </c>
      <c r="BJ84" s="154">
        <f>'Lab descriptors of grain qu (2)'!E83</f>
        <v>5</v>
      </c>
      <c r="BK84" s="155">
        <f>'Lab descriptors of grain qu (2)'!F83</f>
        <v>0.19</v>
      </c>
      <c r="BL84" s="154">
        <f>'Lab descriptors of grain qu (2)'!G83</f>
        <v>1</v>
      </c>
      <c r="BM84" s="156">
        <f>'Lab descriptors of grain qu (2)'!H83</f>
        <v>0</v>
      </c>
      <c r="BN84" s="157">
        <f>'Lab descriptors of grain qu (2)'!I83</f>
        <v>1</v>
      </c>
      <c r="BO84" s="158">
        <f>'Lab descriptors of grain qu (2)'!K83</f>
        <v>0</v>
      </c>
      <c r="BP84" s="140"/>
      <c r="BQ84" s="478" t="s">
        <v>203</v>
      </c>
      <c r="BR84" s="480">
        <v>1</v>
      </c>
      <c r="BS84" s="483"/>
    </row>
    <row r="85" spans="1:71" ht="21">
      <c r="A85" s="194">
        <v>1667</v>
      </c>
      <c r="B85" s="130" t="s">
        <v>204</v>
      </c>
      <c r="C85" s="127"/>
      <c r="D85" s="93"/>
      <c r="E85" s="128">
        <f>'Agronomic traits'!F84</f>
        <v>83</v>
      </c>
      <c r="F85" s="128">
        <f>'Agronomic traits'!H84</f>
        <v>121</v>
      </c>
      <c r="G85" s="129">
        <f>'Agronomic traits'!I84</f>
        <v>80</v>
      </c>
      <c r="H85" s="129">
        <f>'Agronomic traits'!J84</f>
        <v>9</v>
      </c>
      <c r="I85" s="129">
        <f>'Agronomic traits'!K84</f>
        <v>2</v>
      </c>
      <c r="J85" s="130">
        <f>'Agronomic traits'!L84</f>
        <v>2</v>
      </c>
      <c r="K85" s="191" t="s">
        <v>204</v>
      </c>
      <c r="L85" s="132">
        <f>'Field plant descriptors'!C84</f>
        <v>2</v>
      </c>
      <c r="M85" s="128"/>
      <c r="N85" s="128">
        <f>'Field plant descriptors'!E84</f>
        <v>2</v>
      </c>
      <c r="O85" s="128">
        <f>'Field plant descriptors'!F84</f>
        <v>2</v>
      </c>
      <c r="P85" s="133">
        <f>AVERAGE('Field plant descriptors'!G84:L84)</f>
        <v>15.366666666666667</v>
      </c>
      <c r="Q85" s="134">
        <f>STDEV('Field plant descriptors'!G84:L84)</f>
        <v>1.9531171666509664</v>
      </c>
      <c r="R85" s="135">
        <f>'Field plant descriptors'!M84</f>
        <v>5</v>
      </c>
      <c r="S85" s="136">
        <f>'Diseases (blast)'!C93</f>
        <v>5</v>
      </c>
      <c r="T85" s="137">
        <f>'Diseases (blast)'!D93</f>
        <v>1</v>
      </c>
      <c r="U85" s="138"/>
      <c r="V85" s="138"/>
      <c r="W85" s="138"/>
      <c r="X85" s="139"/>
      <c r="Y85" s="130" t="s">
        <v>204</v>
      </c>
      <c r="Z85" s="140"/>
      <c r="AA85" s="141"/>
      <c r="AB85" s="142"/>
      <c r="AC85" s="143"/>
      <c r="AD85" s="144">
        <f>'Field grain descriptors'!C84</f>
        <v>1</v>
      </c>
      <c r="AE85" s="145" t="str">
        <f t="shared" si="11"/>
        <v>Absent</v>
      </c>
      <c r="AF85" s="144">
        <f>'Field grain descriptors'!D84</f>
        <v>9</v>
      </c>
      <c r="AG85" s="146">
        <f>AVERAGE('Field grain descriptors'!E84:H84)</f>
        <v>2.755</v>
      </c>
      <c r="AH85" s="147">
        <f>STDEV('Field grain descriptors'!E84:H84)</f>
        <v>0.18009256878986854</v>
      </c>
      <c r="AI85" s="148" t="str">
        <f t="shared" si="12"/>
        <v>Long</v>
      </c>
      <c r="AJ85" s="136">
        <f>'Field grain descriptors'!I84</f>
        <v>1</v>
      </c>
      <c r="AK85" s="130" t="s">
        <v>204</v>
      </c>
      <c r="AL85" s="144" t="str">
        <f>'Lab descriptors of grain qualit'!C84</f>
        <v>1-3</v>
      </c>
      <c r="AM85" s="149" t="str">
        <f t="shared" si="13"/>
        <v>Straw-Gold</v>
      </c>
      <c r="AN85" s="146">
        <f>AVERAGE('Lab descriptors of grain qualit'!D84:M84)</f>
        <v>8.91</v>
      </c>
      <c r="AO85" s="147">
        <f>STDEV('Lab descriptors of grain qualit'!D84:M84)</f>
        <v>0.36064756572956097</v>
      </c>
      <c r="AP85" s="146">
        <f>AVERAGE('Lab descriptors of grain qualit'!N84:W84)</f>
        <v>3.3329999999999997</v>
      </c>
      <c r="AQ85" s="149">
        <f>STDEV('Lab descriptors of grain qualit'!N84:W84)</f>
        <v>0.1257908316743774</v>
      </c>
      <c r="AR85" s="382">
        <f t="shared" si="15"/>
        <v>2.6732673267326734</v>
      </c>
      <c r="AS85" s="147">
        <f>AVERAGE('Lab descriptors of grain qualit'!X84:AG84)</f>
        <v>2.675509327137745</v>
      </c>
      <c r="AT85" s="381">
        <f>STDEV('Lab descriptors of grain qualit'!X84:AG84)</f>
        <v>0.12086484040776858</v>
      </c>
      <c r="AU85" s="130" t="s">
        <v>204</v>
      </c>
      <c r="AV85" s="146">
        <f>AVERAGE('Lab descriptors of grain qualit'!AI84:AR84)</f>
        <v>6.57</v>
      </c>
      <c r="AW85" s="147">
        <f>STDEV('Lab descriptors of grain qualit'!AI84:AR84)</f>
        <v>0.16350331291238085</v>
      </c>
      <c r="AX85" s="146">
        <f>AVERAGE('Lab descriptors of grain qualit'!AS84:BB84)</f>
        <v>2.8609999999999998</v>
      </c>
      <c r="AY85" s="147">
        <f>STDEV('Lab descriptors of grain qualit'!AS84:BB84)</f>
        <v>0.08556349169540178</v>
      </c>
      <c r="AZ85" s="146">
        <f>AVERAGE('Lab descriptors of grain qualit'!BC84:BL84)</f>
        <v>2.2979746912939363</v>
      </c>
      <c r="BA85" s="147">
        <f>STDEV('Lab descriptors of grain qualit'!BC84:BL84)</f>
        <v>0.08095690506143906</v>
      </c>
      <c r="BB85" s="151" t="str">
        <f t="shared" si="10"/>
        <v>Long A</v>
      </c>
      <c r="BC85" s="133">
        <f>'Lab descriptors of grain qualit'!BM84</f>
        <v>30.38</v>
      </c>
      <c r="BD85" s="152">
        <f>'Lab descriptors of grain qualit'!BO84</f>
        <v>0.7007899934167215</v>
      </c>
      <c r="BE85" s="152">
        <f>'Lab descriptors of grain qualit'!BQ84</f>
        <v>0.49967083607636603</v>
      </c>
      <c r="BF85" s="130" t="s">
        <v>204</v>
      </c>
      <c r="BG85" s="386">
        <v>18.39</v>
      </c>
      <c r="BH85" s="153"/>
      <c r="BI85" s="154" t="str">
        <f t="shared" si="14"/>
        <v>High</v>
      </c>
      <c r="BJ85" s="154">
        <f>'Lab descriptors of grain qu (2)'!E84</f>
        <v>6</v>
      </c>
      <c r="BK85" s="155">
        <f>'Lab descriptors of grain qu (2)'!F84</f>
        <v>0.3</v>
      </c>
      <c r="BL85" s="154">
        <f>'Lab descriptors of grain qu (2)'!G84</f>
        <v>3</v>
      </c>
      <c r="BM85" s="156">
        <f>'Lab descriptors of grain qu (2)'!H84</f>
        <v>5</v>
      </c>
      <c r="BN85" s="157">
        <f>'Lab descriptors of grain qu (2)'!I84</f>
        <v>0</v>
      </c>
      <c r="BO85" s="158">
        <f>'Lab descriptors of grain qu (2)'!K84</f>
        <v>0</v>
      </c>
      <c r="BP85" s="140"/>
      <c r="BQ85" s="478" t="s">
        <v>204</v>
      </c>
      <c r="BR85" s="480">
        <v>2.5</v>
      </c>
      <c r="BS85" s="483"/>
    </row>
    <row r="86" spans="1:71" ht="21">
      <c r="A86" s="194">
        <v>1668</v>
      </c>
      <c r="B86" s="130" t="s">
        <v>205</v>
      </c>
      <c r="C86" s="127"/>
      <c r="D86" s="93"/>
      <c r="E86" s="128">
        <f>'Agronomic traits'!F85</f>
        <v>96</v>
      </c>
      <c r="F86" s="128"/>
      <c r="G86" s="129">
        <f>'Agronomic traits'!I85</f>
        <v>79</v>
      </c>
      <c r="H86" s="129">
        <f>'Agronomic traits'!J85</f>
        <v>9</v>
      </c>
      <c r="I86" s="129">
        <f>'Agronomic traits'!K85</f>
        <v>3</v>
      </c>
      <c r="J86" s="130">
        <f>'Agronomic traits'!L85</f>
        <v>2</v>
      </c>
      <c r="K86" s="191" t="s">
        <v>205</v>
      </c>
      <c r="L86" s="132">
        <f>'Field plant descriptors'!C85</f>
        <v>2</v>
      </c>
      <c r="M86" s="128"/>
      <c r="N86" s="128">
        <f>'Field plant descriptors'!E85</f>
        <v>6</v>
      </c>
      <c r="O86" s="128">
        <f>'Field plant descriptors'!F85</f>
        <v>1</v>
      </c>
      <c r="P86" s="133">
        <f>AVERAGE('Field plant descriptors'!G85:L85)</f>
        <v>16.466666666666665</v>
      </c>
      <c r="Q86" s="134">
        <f>STDEV('Field plant descriptors'!G85:L85)</f>
        <v>1.0745541711178002</v>
      </c>
      <c r="R86" s="135">
        <f>'Field plant descriptors'!M85</f>
        <v>5</v>
      </c>
      <c r="S86" s="136">
        <f>'Diseases (blast)'!C94</f>
        <v>5</v>
      </c>
      <c r="T86" s="137">
        <f>'Diseases (blast)'!D94</f>
        <v>1</v>
      </c>
      <c r="U86" s="138"/>
      <c r="V86" s="138"/>
      <c r="W86" s="138"/>
      <c r="X86" s="139"/>
      <c r="Y86" s="130" t="s">
        <v>205</v>
      </c>
      <c r="Z86" s="140"/>
      <c r="AA86" s="141"/>
      <c r="AB86" s="142"/>
      <c r="AC86" s="143"/>
      <c r="AD86" s="144">
        <f>'Field grain descriptors'!C85</f>
        <v>9</v>
      </c>
      <c r="AE86" s="145" t="str">
        <f t="shared" si="11"/>
        <v>Present</v>
      </c>
      <c r="AF86" s="144">
        <f>'Field grain descriptors'!D85</f>
        <v>5</v>
      </c>
      <c r="AG86" s="146">
        <f>AVERAGE('Field grain descriptors'!E85:H85)</f>
        <v>2.455</v>
      </c>
      <c r="AH86" s="147">
        <f>STDEV('Field grain descriptors'!E85:H85)</f>
        <v>0.08850612031567558</v>
      </c>
      <c r="AI86" s="148" t="str">
        <f t="shared" si="12"/>
        <v>Medium</v>
      </c>
      <c r="AJ86" s="136">
        <f>'Field grain descriptors'!I85</f>
        <v>4</v>
      </c>
      <c r="AK86" s="130" t="s">
        <v>205</v>
      </c>
      <c r="AL86" s="144" t="str">
        <f>'Lab descriptors of grain qualit'!C85</f>
        <v>3-5</v>
      </c>
      <c r="AM86" s="149" t="str">
        <f t="shared" si="13"/>
        <v>Brown/Reddish</v>
      </c>
      <c r="AN86" s="146">
        <f>AVERAGE('Lab descriptors of grain qualit'!D85:M85)</f>
        <v>7.837000000000001</v>
      </c>
      <c r="AO86" s="147">
        <f>STDEV('Lab descriptors of grain qualit'!D85:M85)</f>
        <v>0.3650281572092143</v>
      </c>
      <c r="AP86" s="146">
        <f>AVERAGE('Lab descriptors of grain qualit'!N85:W85)</f>
        <v>3.268</v>
      </c>
      <c r="AQ86" s="149">
        <f>STDEV('Lab descriptors of grain qualit'!N85:W85)</f>
        <v>0.09472767986883826</v>
      </c>
      <c r="AR86" s="382">
        <f t="shared" si="15"/>
        <v>2.398102815177479</v>
      </c>
      <c r="AS86" s="147">
        <f>AVERAGE('Lab descriptors of grain qualit'!X85:AG85)</f>
        <v>2.398421910247297</v>
      </c>
      <c r="AT86" s="381">
        <f>STDEV('Lab descriptors of grain qualit'!X85:AG85)</f>
        <v>0.09704657905658458</v>
      </c>
      <c r="AU86" s="130" t="s">
        <v>205</v>
      </c>
      <c r="AV86" s="146">
        <f>AVERAGE('Lab descriptors of grain qualit'!AI85:AR85)</f>
        <v>5.5280000000000005</v>
      </c>
      <c r="AW86" s="147">
        <f>STDEV('Lab descriptors of grain qualit'!AI85:AR85)</f>
        <v>0.2821662236657313</v>
      </c>
      <c r="AX86" s="146">
        <f>AVERAGE('Lab descriptors of grain qualit'!AS85:BB85)</f>
        <v>2.8</v>
      </c>
      <c r="AY86" s="147">
        <f>STDEV('Lab descriptors of grain qualit'!AS85:BB85)</f>
        <v>0.05497474167492424</v>
      </c>
      <c r="AZ86" s="146">
        <f>AVERAGE('Lab descriptors of grain qualit'!BC85:BL85)</f>
        <v>1.9751360637840587</v>
      </c>
      <c r="BA86" s="147">
        <f>STDEV('Lab descriptors of grain qualit'!BC85:BL85)</f>
        <v>0.11101744822167345</v>
      </c>
      <c r="BB86" s="151" t="str">
        <f t="shared" si="10"/>
        <v>Medium</v>
      </c>
      <c r="BC86" s="133">
        <f>'Lab descriptors of grain qualit'!BM85</f>
        <v>25.96</v>
      </c>
      <c r="BD86" s="152">
        <f>'Lab descriptors of grain qualit'!BO85</f>
        <v>0.6425269645608628</v>
      </c>
      <c r="BE86" s="152">
        <f>'Lab descriptors of grain qualit'!BQ85</f>
        <v>0.6070878274268104</v>
      </c>
      <c r="BF86" s="130" t="s">
        <v>205</v>
      </c>
      <c r="BG86" s="389"/>
      <c r="BH86" s="153"/>
      <c r="BI86" s="154" t="str">
        <f t="shared" si="14"/>
        <v>High</v>
      </c>
      <c r="BJ86" s="154">
        <f>'Lab descriptors of grain qu (2)'!E85</f>
        <v>6</v>
      </c>
      <c r="BK86" s="155">
        <f>'Lab descriptors of grain qu (2)'!F85</f>
        <v>0.28</v>
      </c>
      <c r="BL86" s="154">
        <f>'Lab descriptors of grain qu (2)'!G85</f>
        <v>9</v>
      </c>
      <c r="BM86" s="156">
        <f>'Lab descriptors of grain qu (2)'!H85</f>
        <v>9</v>
      </c>
      <c r="BN86" s="157">
        <f>'Lab descriptors of grain qu (2)'!I85</f>
        <v>5</v>
      </c>
      <c r="BO86" s="158">
        <f>'Lab descriptors of grain qu (2)'!K85</f>
        <v>0</v>
      </c>
      <c r="BP86" s="140"/>
      <c r="BQ86" s="478" t="s">
        <v>205</v>
      </c>
      <c r="BR86" s="480">
        <v>0.5</v>
      </c>
      <c r="BS86" s="483"/>
    </row>
    <row r="87" spans="1:71" ht="21">
      <c r="A87" s="194">
        <v>1669</v>
      </c>
      <c r="B87" s="130" t="s">
        <v>206</v>
      </c>
      <c r="C87" s="127"/>
      <c r="D87" s="93"/>
      <c r="E87" s="128">
        <f>'Agronomic traits'!F86</f>
        <v>91</v>
      </c>
      <c r="F87" s="128">
        <f>'Agronomic traits'!H86</f>
        <v>127</v>
      </c>
      <c r="G87" s="129">
        <f>'Agronomic traits'!I86</f>
        <v>60</v>
      </c>
      <c r="H87" s="129">
        <f>'Agronomic traits'!J86</f>
        <v>9</v>
      </c>
      <c r="I87" s="129">
        <f>'Agronomic traits'!K86</f>
        <v>4</v>
      </c>
      <c r="J87" s="130">
        <f>'Agronomic traits'!L86</f>
        <v>2</v>
      </c>
      <c r="K87" s="191" t="s">
        <v>206</v>
      </c>
      <c r="L87" s="132">
        <f>'Field plant descriptors'!C86</f>
        <v>2</v>
      </c>
      <c r="M87" s="128"/>
      <c r="N87" s="128">
        <f>'Field plant descriptors'!E86</f>
        <v>3</v>
      </c>
      <c r="O87" s="128">
        <f>'Field plant descriptors'!F86</f>
        <v>3</v>
      </c>
      <c r="P87" s="133">
        <f>AVERAGE('Field plant descriptors'!G86:L86)</f>
        <v>20.216666666666665</v>
      </c>
      <c r="Q87" s="134">
        <f>STDEV('Field plant descriptors'!G86:L86)</f>
        <v>1.4302680401472632</v>
      </c>
      <c r="R87" s="135">
        <f>'Field plant descriptors'!M86</f>
        <v>5</v>
      </c>
      <c r="S87" s="136">
        <f>'Diseases (blast)'!C95</f>
        <v>5</v>
      </c>
      <c r="T87" s="137">
        <f>'Diseases (blast)'!D95</f>
        <v>1</v>
      </c>
      <c r="U87" s="138"/>
      <c r="V87" s="138"/>
      <c r="W87" s="138"/>
      <c r="X87" s="139"/>
      <c r="Y87" s="130" t="s">
        <v>206</v>
      </c>
      <c r="Z87" s="140"/>
      <c r="AA87" s="141"/>
      <c r="AB87" s="142"/>
      <c r="AC87" s="143"/>
      <c r="AD87" s="144">
        <f>'Field grain descriptors'!C86</f>
        <v>1</v>
      </c>
      <c r="AE87" s="145" t="str">
        <f t="shared" si="11"/>
        <v>Absent</v>
      </c>
      <c r="AF87" s="144">
        <f>'Field grain descriptors'!D86</f>
        <v>1</v>
      </c>
      <c r="AG87" s="146">
        <f>AVERAGE('Field grain descriptors'!E86:H86)</f>
        <v>2.2249999999999996</v>
      </c>
      <c r="AH87" s="147">
        <f>STDEV('Field grain descriptors'!E86:H86)</f>
        <v>0.29217574619853004</v>
      </c>
      <c r="AI87" s="148" t="str">
        <f t="shared" si="12"/>
        <v>Medium</v>
      </c>
      <c r="AJ87" s="136">
        <f>'Field grain descriptors'!I86</f>
        <v>1</v>
      </c>
      <c r="AK87" s="130" t="s">
        <v>206</v>
      </c>
      <c r="AL87" s="144">
        <f>'Lab descriptors of grain qualit'!C86</f>
        <v>1</v>
      </c>
      <c r="AM87" s="149" t="str">
        <f t="shared" si="13"/>
        <v>Straw</v>
      </c>
      <c r="AN87" s="146">
        <f>AVERAGE('Lab descriptors of grain qualit'!D86:M86)</f>
        <v>9.933</v>
      </c>
      <c r="AO87" s="147">
        <f>STDEV('Lab descriptors of grain qualit'!D86:M86)</f>
        <v>1.2129307940320164</v>
      </c>
      <c r="AP87" s="146">
        <f>AVERAGE('Lab descriptors of grain qualit'!N86:W86)</f>
        <v>2.629</v>
      </c>
      <c r="AQ87" s="149">
        <f>STDEV('Lab descriptors of grain qualit'!N86:W86)</f>
        <v>0.11100050049937098</v>
      </c>
      <c r="AR87" s="382">
        <f t="shared" si="15"/>
        <v>3.778242677824268</v>
      </c>
      <c r="AS87" s="147">
        <f>AVERAGE('Lab descriptors of grain qualit'!X86:AG86)</f>
        <v>3.779137937562637</v>
      </c>
      <c r="AT87" s="381">
        <f>STDEV('Lab descriptors of grain qualit'!X86:AG86)</f>
        <v>0.4403587999763412</v>
      </c>
      <c r="AU87" s="130" t="s">
        <v>206</v>
      </c>
      <c r="AV87" s="146">
        <f>AVERAGE('Lab descriptors of grain qualit'!AI86:AR86)</f>
        <v>7.2010000000000005</v>
      </c>
      <c r="AW87" s="147">
        <f>STDEV('Lab descriptors of grain qualit'!AI86:AR86)</f>
        <v>0.6168999558725471</v>
      </c>
      <c r="AX87" s="146">
        <f>AVERAGE('Lab descriptors of grain qualit'!AS86:BB86)</f>
        <v>2.174</v>
      </c>
      <c r="AY87" s="147">
        <f>STDEV('Lab descriptors of grain qualit'!AS86:BB86)</f>
        <v>0.07396695959083632</v>
      </c>
      <c r="AZ87" s="146">
        <f>AVERAGE('Lab descriptors of grain qualit'!BC86:BL86)</f>
        <v>3.309432832814335</v>
      </c>
      <c r="BA87" s="147">
        <f>STDEV('Lab descriptors of grain qualit'!BC86:BL86)</f>
        <v>0.21792724596405824</v>
      </c>
      <c r="BB87" s="151" t="str">
        <f t="shared" si="10"/>
        <v>Long B</v>
      </c>
      <c r="BC87" s="133">
        <f>'Lab descriptors of grain qualit'!BM86</f>
        <v>21.82</v>
      </c>
      <c r="BD87" s="152">
        <f>'Lab descriptors of grain qualit'!BO86</f>
        <v>0.6966086159486709</v>
      </c>
      <c r="BE87" s="152">
        <f>'Lab descriptors of grain qualit'!BQ86</f>
        <v>0.5843263061411549</v>
      </c>
      <c r="BF87" s="130" t="s">
        <v>206</v>
      </c>
      <c r="BG87" s="386">
        <v>23.06</v>
      </c>
      <c r="BH87" s="153"/>
      <c r="BI87" s="154" t="str">
        <f t="shared" si="14"/>
        <v>Intermediate</v>
      </c>
      <c r="BJ87" s="154">
        <f>'Lab descriptors of grain qu (2)'!E86</f>
        <v>5</v>
      </c>
      <c r="BK87" s="155">
        <f>'Lab descriptors of grain qu (2)'!F86</f>
        <v>0.71</v>
      </c>
      <c r="BL87" s="154">
        <f>'Lab descriptors of grain qu (2)'!G86</f>
        <v>9</v>
      </c>
      <c r="BM87" s="156">
        <f>'Lab descriptors of grain qu (2)'!H86</f>
        <v>9</v>
      </c>
      <c r="BN87" s="157">
        <f>'Lab descriptors of grain qu (2)'!I86</f>
        <v>9</v>
      </c>
      <c r="BO87" s="158">
        <f>'Lab descriptors of grain qu (2)'!K86</f>
        <v>0</v>
      </c>
      <c r="BP87" s="140"/>
      <c r="BQ87" s="478" t="s">
        <v>206</v>
      </c>
      <c r="BR87" s="480">
        <v>1</v>
      </c>
      <c r="BS87" s="483"/>
    </row>
    <row r="88" spans="1:71" ht="21">
      <c r="A88" s="194">
        <v>1670</v>
      </c>
      <c r="B88" s="130" t="s">
        <v>207</v>
      </c>
      <c r="C88" s="127"/>
      <c r="D88" s="93"/>
      <c r="E88" s="128">
        <f>'Agronomic traits'!F87</f>
        <v>91</v>
      </c>
      <c r="F88" s="128">
        <f>'Agronomic traits'!H87</f>
        <v>141</v>
      </c>
      <c r="G88" s="129">
        <f>'Agronomic traits'!I87</f>
        <v>65</v>
      </c>
      <c r="H88" s="129">
        <f>'Agronomic traits'!J87</f>
        <v>9</v>
      </c>
      <c r="I88" s="129">
        <f>'Agronomic traits'!K87</f>
        <v>1</v>
      </c>
      <c r="J88" s="130">
        <f>'Agronomic traits'!L87</f>
        <v>3</v>
      </c>
      <c r="K88" s="191" t="s">
        <v>207</v>
      </c>
      <c r="L88" s="132">
        <f>'Field plant descriptors'!C87</f>
        <v>2</v>
      </c>
      <c r="M88" s="128"/>
      <c r="N88" s="128">
        <f>'Field plant descriptors'!E87</f>
        <v>6</v>
      </c>
      <c r="O88" s="128">
        <f>'Field plant descriptors'!F87</f>
        <v>3</v>
      </c>
      <c r="P88" s="133">
        <f>AVERAGE('Field plant descriptors'!G87:L87)</f>
        <v>15.733333333333334</v>
      </c>
      <c r="Q88" s="134">
        <f>STDEV('Field plant descriptors'!G87:L87)</f>
        <v>0.8213809510005965</v>
      </c>
      <c r="R88" s="135">
        <f>'Field plant descriptors'!M87</f>
        <v>5</v>
      </c>
      <c r="S88" s="136" t="str">
        <f>'Diseases (blast)'!C96</f>
        <v>3-4</v>
      </c>
      <c r="T88" s="137">
        <f>'Diseases (blast)'!D96</f>
        <v>1</v>
      </c>
      <c r="U88" s="138"/>
      <c r="V88" s="138"/>
      <c r="W88" s="138"/>
      <c r="X88" s="139"/>
      <c r="Y88" s="130" t="s">
        <v>207</v>
      </c>
      <c r="Z88" s="140"/>
      <c r="AA88" s="141"/>
      <c r="AB88" s="142"/>
      <c r="AC88" s="143"/>
      <c r="AD88" s="144">
        <f>'Field grain descriptors'!C87</f>
        <v>1</v>
      </c>
      <c r="AE88" s="145" t="str">
        <f t="shared" si="11"/>
        <v>Absent</v>
      </c>
      <c r="AF88" s="144">
        <f>'Field grain descriptors'!D87</f>
        <v>7</v>
      </c>
      <c r="AG88" s="146">
        <f>AVERAGE('Field grain descriptors'!E87:H87)</f>
        <v>1.99</v>
      </c>
      <c r="AH88" s="147">
        <f>STDEV('Field grain descriptors'!E87:H87)</f>
        <v>0.3060501048303478</v>
      </c>
      <c r="AI88" s="148" t="str">
        <f t="shared" si="12"/>
        <v>Medium</v>
      </c>
      <c r="AJ88" s="136">
        <f>'Field grain descriptors'!I87</f>
        <v>8</v>
      </c>
      <c r="AK88" s="130" t="s">
        <v>207</v>
      </c>
      <c r="AL88" s="144">
        <f>'Lab descriptors of grain qualit'!C87</f>
        <v>3</v>
      </c>
      <c r="AM88" s="149" t="str">
        <f t="shared" si="13"/>
        <v>Gold</v>
      </c>
      <c r="AN88" s="146">
        <f>AVERAGE('Lab descriptors of grain qualit'!D87:M87)</f>
        <v>7.192</v>
      </c>
      <c r="AO88" s="147">
        <f>STDEV('Lab descriptors of grain qualit'!D87:M87)</f>
        <v>0.5639700543665643</v>
      </c>
      <c r="AP88" s="146">
        <f>AVERAGE('Lab descriptors of grain qualit'!N87:W87)</f>
        <v>3.37</v>
      </c>
      <c r="AQ88" s="149">
        <f>STDEV('Lab descriptors of grain qualit'!N87:W87)</f>
        <v>0.07845734863956272</v>
      </c>
      <c r="AR88" s="382">
        <f t="shared" si="15"/>
        <v>2.1341246290801186</v>
      </c>
      <c r="AS88" s="147">
        <f>AVERAGE('Lab descriptors of grain qualit'!X87:AG87)</f>
        <v>2.134064956022455</v>
      </c>
      <c r="AT88" s="381">
        <f>STDEV('Lab descriptors of grain qualit'!X87:AG87)</f>
        <v>0.15731995224576514</v>
      </c>
      <c r="AU88" s="130" t="s">
        <v>207</v>
      </c>
      <c r="AV88" s="146">
        <f>AVERAGE('Lab descriptors of grain qualit'!AI87:AR87)</f>
        <v>5.137</v>
      </c>
      <c r="AW88" s="147">
        <f>STDEV('Lab descriptors of grain qualit'!AI87:AR87)</f>
        <v>0.2408803299012664</v>
      </c>
      <c r="AX88" s="146">
        <f>AVERAGE('Lab descriptors of grain qualit'!AS87:BB87)</f>
        <v>2.912</v>
      </c>
      <c r="AY88" s="147">
        <f>STDEV('Lab descriptors of grain qualit'!AS87:BB87)</f>
        <v>0.0733030240394977</v>
      </c>
      <c r="AZ88" s="146">
        <f>AVERAGE('Lab descriptors of grain qualit'!BC87:BL87)</f>
        <v>1.7647789699017977</v>
      </c>
      <c r="BA88" s="147">
        <f>STDEV('Lab descriptors of grain qualit'!BC87:BL87)</f>
        <v>0.08723129092601022</v>
      </c>
      <c r="BB88" s="151" t="str">
        <f aca="true" t="shared" si="16" ref="BB88:BB123">IF(AND(AV88&lt;=5.2,AZ88&lt;2),"Round",IF(AND(AV88&gt;6,AZ88&lt;3),"Long A",IF(AND(AV88&gt;6,AZ88&gt;3),"Long B","Medium")))</f>
        <v>Round</v>
      </c>
      <c r="BC88" s="133">
        <f>'Lab descriptors of grain qualit'!BM87</f>
        <v>25.56</v>
      </c>
      <c r="BD88" s="152">
        <f>'Lab descriptors of grain qualit'!BO87</f>
        <v>0.6917057902973396</v>
      </c>
      <c r="BE88" s="152">
        <f>'Lab descriptors of grain qualit'!BQ87</f>
        <v>0.672926447574335</v>
      </c>
      <c r="BF88" s="130" t="s">
        <v>207</v>
      </c>
      <c r="BG88" s="386">
        <v>18.15</v>
      </c>
      <c r="BH88" s="153"/>
      <c r="BI88" s="154" t="str">
        <f t="shared" si="14"/>
        <v>High</v>
      </c>
      <c r="BJ88" s="154">
        <f>'Lab descriptors of grain qu (2)'!E87</f>
        <v>6</v>
      </c>
      <c r="BK88" s="155">
        <f>'Lab descriptors of grain qu (2)'!F87</f>
        <v>0.78</v>
      </c>
      <c r="BL88" s="154">
        <f>'Lab descriptors of grain qu (2)'!G87</f>
        <v>5</v>
      </c>
      <c r="BM88" s="156">
        <f>'Lab descriptors of grain qu (2)'!H87</f>
        <v>5</v>
      </c>
      <c r="BN88" s="157">
        <f>'Lab descriptors of grain qu (2)'!I87</f>
        <v>5</v>
      </c>
      <c r="BO88" s="158">
        <f>'Lab descriptors of grain qu (2)'!K87</f>
        <v>0</v>
      </c>
      <c r="BP88" s="140"/>
      <c r="BQ88" s="478" t="s">
        <v>207</v>
      </c>
      <c r="BR88" s="480">
        <v>1.5</v>
      </c>
      <c r="BS88" s="483"/>
    </row>
    <row r="89" spans="1:71" ht="21">
      <c r="A89" s="194">
        <v>1671</v>
      </c>
      <c r="B89" s="130" t="s">
        <v>208</v>
      </c>
      <c r="C89" s="127"/>
      <c r="D89" s="93"/>
      <c r="E89" s="128">
        <f>'Agronomic traits'!F88</f>
        <v>86</v>
      </c>
      <c r="F89" s="128">
        <f>'Agronomic traits'!H88</f>
        <v>121</v>
      </c>
      <c r="G89" s="129">
        <f>'Agronomic traits'!I88</f>
        <v>70</v>
      </c>
      <c r="H89" s="129">
        <f>'Agronomic traits'!J88</f>
        <v>9</v>
      </c>
      <c r="I89" s="129">
        <f>'Agronomic traits'!K88</f>
        <v>1</v>
      </c>
      <c r="J89" s="130">
        <f>'Agronomic traits'!L88</f>
        <v>6</v>
      </c>
      <c r="K89" s="191" t="s">
        <v>208</v>
      </c>
      <c r="L89" s="132">
        <f>'Field plant descriptors'!C88</f>
        <v>2</v>
      </c>
      <c r="M89" s="128"/>
      <c r="N89" s="128">
        <f>'Field plant descriptors'!E88</f>
        <v>4</v>
      </c>
      <c r="O89" s="128">
        <f>'Field plant descriptors'!F88</f>
        <v>3</v>
      </c>
      <c r="P89" s="133">
        <f>AVERAGE('Field plant descriptors'!G88:L88)</f>
        <v>17.51666666666667</v>
      </c>
      <c r="Q89" s="134">
        <f>STDEV('Field plant descriptors'!G88:L88)</f>
        <v>1.068488028321612</v>
      </c>
      <c r="R89" s="135">
        <f>'Field plant descriptors'!M88</f>
        <v>5</v>
      </c>
      <c r="S89" s="136">
        <f>'Diseases (blast)'!C97</f>
        <v>5</v>
      </c>
      <c r="T89" s="137">
        <f>'Diseases (blast)'!D97</f>
        <v>1</v>
      </c>
      <c r="U89" s="138"/>
      <c r="V89" s="138"/>
      <c r="W89" s="138"/>
      <c r="X89" s="139"/>
      <c r="Y89" s="130" t="s">
        <v>208</v>
      </c>
      <c r="Z89" s="140"/>
      <c r="AA89" s="141"/>
      <c r="AB89" s="142"/>
      <c r="AC89" s="143"/>
      <c r="AD89" s="144">
        <f>'Field grain descriptors'!C88</f>
        <v>1</v>
      </c>
      <c r="AE89" s="145" t="str">
        <f t="shared" si="11"/>
        <v>Absent</v>
      </c>
      <c r="AF89" s="144">
        <f>'Field grain descriptors'!D88</f>
        <v>7</v>
      </c>
      <c r="AG89" s="146">
        <f>AVERAGE('Field grain descriptors'!E88:H88)</f>
        <v>2.9625</v>
      </c>
      <c r="AH89" s="147">
        <f>STDEV('Field grain descriptors'!E88:H88)</f>
        <v>0.06130524719251148</v>
      </c>
      <c r="AI89" s="148" t="str">
        <f t="shared" si="12"/>
        <v>Long</v>
      </c>
      <c r="AJ89" s="136">
        <f>'Field grain descriptors'!I88</f>
        <v>1</v>
      </c>
      <c r="AK89" s="130" t="s">
        <v>208</v>
      </c>
      <c r="AL89" s="144">
        <f>'Lab descriptors of grain qualit'!C88</f>
        <v>3</v>
      </c>
      <c r="AM89" s="149" t="str">
        <f t="shared" si="13"/>
        <v>Gold</v>
      </c>
      <c r="AN89" s="146">
        <f>AVERAGE('Lab descriptors of grain qualit'!D88:M88)</f>
        <v>7.845000000000001</v>
      </c>
      <c r="AO89" s="147">
        <f>STDEV('Lab descriptors of grain qualit'!D88:M88)</f>
        <v>0.44580140072558905</v>
      </c>
      <c r="AP89" s="146">
        <f>AVERAGE('Lab descriptors of grain qualit'!N88:W88)</f>
        <v>3.7079999999999997</v>
      </c>
      <c r="AQ89" s="149">
        <f>STDEV('Lab descriptors of grain qualit'!N88:W88)</f>
        <v>0.12263767773405615</v>
      </c>
      <c r="AR89" s="382">
        <f t="shared" si="15"/>
        <v>2.1156957928802593</v>
      </c>
      <c r="AS89" s="147">
        <f>AVERAGE('Lab descriptors of grain qualit'!X88:AG88)</f>
        <v>2.1175525445087677</v>
      </c>
      <c r="AT89" s="381">
        <f>STDEV('Lab descriptors of grain qualit'!X88:AG88)</f>
        <v>0.1342422577765103</v>
      </c>
      <c r="AU89" s="130" t="s">
        <v>208</v>
      </c>
      <c r="AV89" s="146">
        <f>AVERAGE('Lab descriptors of grain qualit'!AI88:AR88)</f>
        <v>5.4270000000000005</v>
      </c>
      <c r="AW89" s="147">
        <f>STDEV('Lab descriptors of grain qualit'!AI88:AR88)</f>
        <v>0.14220876672460228</v>
      </c>
      <c r="AX89" s="146">
        <f>AVERAGE('Lab descriptors of grain qualit'!AS88:BB88)</f>
        <v>3.258</v>
      </c>
      <c r="AY89" s="147">
        <f>STDEV('Lab descriptors of grain qualit'!AS88:BB88)</f>
        <v>0.06646636576329025</v>
      </c>
      <c r="AZ89" s="146">
        <f>AVERAGE('Lab descriptors of grain qualit'!BC88:BL88)</f>
        <v>1.6668822293441619</v>
      </c>
      <c r="BA89" s="147">
        <f>STDEV('Lab descriptors of grain qualit'!BC88:BL88)</f>
        <v>0.06968767630912195</v>
      </c>
      <c r="BB89" s="151" t="str">
        <f t="shared" si="16"/>
        <v>Medium</v>
      </c>
      <c r="BC89" s="133">
        <f>'Lab descriptors of grain qualit'!BM88</f>
        <v>32.35</v>
      </c>
      <c r="BD89" s="152">
        <f>'Lab descriptors of grain qualit'!BO88</f>
        <v>0.6868624420401854</v>
      </c>
      <c r="BE89" s="152">
        <f>'Lab descriptors of grain qualit'!BQ88</f>
        <v>0.6068006182380216</v>
      </c>
      <c r="BF89" s="130" t="s">
        <v>208</v>
      </c>
      <c r="BG89" s="386">
        <v>19.76</v>
      </c>
      <c r="BH89" s="153"/>
      <c r="BI89" s="154" t="str">
        <f t="shared" si="14"/>
        <v>High</v>
      </c>
      <c r="BJ89" s="154">
        <f>'Lab descriptors of grain qu (2)'!E88</f>
        <v>6</v>
      </c>
      <c r="BK89" s="155">
        <f>'Lab descriptors of grain qu (2)'!F88</f>
        <v>0.74</v>
      </c>
      <c r="BL89" s="154">
        <f>'Lab descriptors of grain qu (2)'!G88</f>
        <v>9</v>
      </c>
      <c r="BM89" s="156">
        <f>'Lab descriptors of grain qu (2)'!H88</f>
        <v>9</v>
      </c>
      <c r="BN89" s="157">
        <f>'Lab descriptors of grain qu (2)'!I88</f>
        <v>9</v>
      </c>
      <c r="BO89" s="158">
        <f>'Lab descriptors of grain qu (2)'!K88</f>
        <v>0</v>
      </c>
      <c r="BP89" s="140"/>
      <c r="BQ89" s="478" t="s">
        <v>208</v>
      </c>
      <c r="BR89" s="480">
        <v>0.5</v>
      </c>
      <c r="BS89" s="483"/>
    </row>
    <row r="90" spans="1:71" ht="21">
      <c r="A90" s="194">
        <v>1672</v>
      </c>
      <c r="B90" s="130" t="s">
        <v>209</v>
      </c>
      <c r="C90" s="127"/>
      <c r="D90" s="93"/>
      <c r="E90" s="128">
        <f>'Agronomic traits'!F89</f>
        <v>97</v>
      </c>
      <c r="F90" s="128">
        <f>'Agronomic traits'!H89</f>
        <v>157</v>
      </c>
      <c r="G90" s="129">
        <f>'Agronomic traits'!I89</f>
        <v>92</v>
      </c>
      <c r="H90" s="129">
        <f>'Agronomic traits'!J89</f>
        <v>9</v>
      </c>
      <c r="I90" s="129">
        <f>'Agronomic traits'!K89</f>
        <v>3</v>
      </c>
      <c r="J90" s="130">
        <f>'Agronomic traits'!L89</f>
        <v>2</v>
      </c>
      <c r="K90" s="191" t="s">
        <v>209</v>
      </c>
      <c r="L90" s="132">
        <f>'Field plant descriptors'!C89</f>
        <v>6</v>
      </c>
      <c r="M90" s="128"/>
      <c r="N90" s="128">
        <f>'Field plant descriptors'!E89</f>
        <v>4</v>
      </c>
      <c r="O90" s="128">
        <f>'Field plant descriptors'!F89</f>
        <v>3</v>
      </c>
      <c r="P90" s="133">
        <f>AVERAGE('Field plant descriptors'!G89:L89)</f>
        <v>19.666666666666668</v>
      </c>
      <c r="Q90" s="134">
        <f>STDEV('Field plant descriptors'!G89:L89)</f>
        <v>1.229091805629973</v>
      </c>
      <c r="R90" s="135">
        <f>'Field plant descriptors'!M89</f>
        <v>5</v>
      </c>
      <c r="S90" s="136" t="str">
        <f>'Diseases (blast)'!C98</f>
        <v>4-5</v>
      </c>
      <c r="T90" s="137">
        <f>'Diseases (blast)'!D98</f>
        <v>1</v>
      </c>
      <c r="U90" s="138"/>
      <c r="V90" s="138"/>
      <c r="W90" s="138"/>
      <c r="X90" s="139"/>
      <c r="Y90" s="130" t="s">
        <v>209</v>
      </c>
      <c r="Z90" s="140"/>
      <c r="AA90" s="141"/>
      <c r="AB90" s="142"/>
      <c r="AC90" s="143"/>
      <c r="AD90" s="144">
        <f>'Field grain descriptors'!C89</f>
        <v>1</v>
      </c>
      <c r="AE90" s="145" t="str">
        <f t="shared" si="11"/>
        <v>Absent</v>
      </c>
      <c r="AF90" s="144">
        <f>'Field grain descriptors'!D89</f>
        <v>1</v>
      </c>
      <c r="AG90" s="146">
        <f>AVERAGE('Field grain descriptors'!E89:H89)</f>
        <v>2.81</v>
      </c>
      <c r="AH90" s="147">
        <f>STDEV('Field grain descriptors'!E89:H89)</f>
        <v>0.42575423270552243</v>
      </c>
      <c r="AI90" s="148" t="str">
        <f t="shared" si="12"/>
        <v>Long</v>
      </c>
      <c r="AJ90" s="136">
        <f>'Field grain descriptors'!I89</f>
        <v>1</v>
      </c>
      <c r="AK90" s="130" t="s">
        <v>209</v>
      </c>
      <c r="AL90" s="144">
        <f>'Lab descriptors of grain qualit'!C89</f>
        <v>3</v>
      </c>
      <c r="AM90" s="149" t="str">
        <f t="shared" si="13"/>
        <v>Gold</v>
      </c>
      <c r="AN90" s="146">
        <f>AVERAGE('Lab descriptors of grain qualit'!D89:M89)</f>
        <v>9.761</v>
      </c>
      <c r="AO90" s="147">
        <f>STDEV('Lab descriptors of grain qualit'!D89:M89)</f>
        <v>0.44856437665064786</v>
      </c>
      <c r="AP90" s="146">
        <f>AVERAGE('Lab descriptors of grain qualit'!N89:W89)</f>
        <v>2.554</v>
      </c>
      <c r="AQ90" s="149">
        <f>STDEV('Lab descriptors of grain qualit'!N89:W89)</f>
        <v>0.09442221960723819</v>
      </c>
      <c r="AR90" s="382">
        <f t="shared" si="15"/>
        <v>3.821848081440877</v>
      </c>
      <c r="AS90" s="147">
        <f>AVERAGE('Lab descriptors of grain qualit'!X89:AG89)</f>
        <v>3.8231790218911748</v>
      </c>
      <c r="AT90" s="381">
        <f>STDEV('Lab descriptors of grain qualit'!X89:AG89)</f>
        <v>0.14893227178096288</v>
      </c>
      <c r="AU90" s="130" t="s">
        <v>209</v>
      </c>
      <c r="AV90" s="146">
        <f>AVERAGE('Lab descriptors of grain qualit'!AI89:AR89)</f>
        <v>7.227000000000001</v>
      </c>
      <c r="AW90" s="147">
        <f>STDEV('Lab descriptors of grain qualit'!AI89:AR89)</f>
        <v>0.47532561938573453</v>
      </c>
      <c r="AX90" s="146">
        <f>AVERAGE('Lab descriptors of grain qualit'!AS89:BB89)</f>
        <v>2.104</v>
      </c>
      <c r="AY90" s="147">
        <f>STDEV('Lab descriptors of grain qualit'!AS89:BB89)</f>
        <v>0.06979334575094852</v>
      </c>
      <c r="AZ90" s="146">
        <f>AVERAGE('Lab descriptors of grain qualit'!BC89:BL89)</f>
        <v>3.4359304724042223</v>
      </c>
      <c r="BA90" s="147">
        <f>STDEV('Lab descriptors of grain qualit'!BC89:BL89)</f>
        <v>0.21629129186282245</v>
      </c>
      <c r="BB90" s="151" t="str">
        <f t="shared" si="16"/>
        <v>Long B</v>
      </c>
      <c r="BC90" s="133">
        <f>'Lab descriptors of grain qualit'!BM89</f>
        <v>23.59</v>
      </c>
      <c r="BD90" s="152">
        <f>'Lab descriptors of grain qualit'!BO89</f>
        <v>0.6905468418821534</v>
      </c>
      <c r="BE90" s="152">
        <f>'Lab descriptors of grain qualit'!BQ89</f>
        <v>0.6494277236116999</v>
      </c>
      <c r="BF90" s="130" t="s">
        <v>209</v>
      </c>
      <c r="BG90" s="387">
        <v>18.46</v>
      </c>
      <c r="BH90" s="153"/>
      <c r="BI90" s="154" t="str">
        <f t="shared" si="14"/>
        <v>High</v>
      </c>
      <c r="BJ90" s="154">
        <f>'Lab descriptors of grain qu (2)'!E89</f>
        <v>6</v>
      </c>
      <c r="BK90" s="155">
        <f>'Lab descriptors of grain qu (2)'!F89</f>
        <v>0.03</v>
      </c>
      <c r="BL90" s="154">
        <f>'Lab descriptors of grain qu (2)'!G89</f>
        <v>1</v>
      </c>
      <c r="BM90" s="156">
        <f>'Lab descriptors of grain qu (2)'!H89</f>
        <v>1</v>
      </c>
      <c r="BN90" s="157">
        <f>'Lab descriptors of grain qu (2)'!I89</f>
        <v>5</v>
      </c>
      <c r="BO90" s="158">
        <f>'Lab descriptors of grain qu (2)'!K89</f>
        <v>0</v>
      </c>
      <c r="BP90" s="140"/>
      <c r="BQ90" s="478" t="s">
        <v>209</v>
      </c>
      <c r="BR90" s="480">
        <v>2.5</v>
      </c>
      <c r="BS90" s="483"/>
    </row>
    <row r="91" spans="1:71" ht="21">
      <c r="A91" s="194">
        <v>1673</v>
      </c>
      <c r="B91" s="130" t="s">
        <v>210</v>
      </c>
      <c r="C91" s="127"/>
      <c r="D91" s="93"/>
      <c r="E91" s="128">
        <f>'Agronomic traits'!F90</f>
        <v>92</v>
      </c>
      <c r="F91" s="128">
        <f>'Agronomic traits'!H90</f>
        <v>150</v>
      </c>
      <c r="G91" s="129">
        <f>'Agronomic traits'!I90</f>
        <v>50</v>
      </c>
      <c r="H91" s="129">
        <f>'Agronomic traits'!J90</f>
        <v>9</v>
      </c>
      <c r="I91" s="129">
        <f>'Agronomic traits'!K90</f>
        <v>6</v>
      </c>
      <c r="J91" s="130">
        <f>'Agronomic traits'!L90</f>
        <v>4</v>
      </c>
      <c r="K91" s="191" t="s">
        <v>210</v>
      </c>
      <c r="L91" s="132">
        <f>'Field plant descriptors'!C90</f>
        <v>2</v>
      </c>
      <c r="M91" s="128"/>
      <c r="N91" s="128">
        <f>'Field plant descriptors'!E90</f>
        <v>2</v>
      </c>
      <c r="O91" s="128">
        <f>'Field plant descriptors'!F90</f>
        <v>3</v>
      </c>
      <c r="P91" s="133">
        <f>AVERAGE('Field plant descriptors'!G90:L90)</f>
        <v>15.350000000000001</v>
      </c>
      <c r="Q91" s="134">
        <f>STDEV('Field plant descriptors'!G90:L90)</f>
        <v>0.6715653356151812</v>
      </c>
      <c r="R91" s="135">
        <f>'Field plant descriptors'!M90</f>
        <v>5</v>
      </c>
      <c r="S91" s="136">
        <f>'Diseases (blast)'!C99</f>
        <v>4</v>
      </c>
      <c r="T91" s="137">
        <f>'Diseases (blast)'!D99</f>
        <v>2</v>
      </c>
      <c r="U91" s="138"/>
      <c r="V91" s="138"/>
      <c r="W91" s="138"/>
      <c r="X91" s="139"/>
      <c r="Y91" s="130" t="s">
        <v>210</v>
      </c>
      <c r="Z91" s="140"/>
      <c r="AA91" s="141"/>
      <c r="AB91" s="142"/>
      <c r="AC91" s="143"/>
      <c r="AD91" s="144">
        <f>'Field grain descriptors'!C90</f>
        <v>9</v>
      </c>
      <c r="AE91" s="145" t="str">
        <f t="shared" si="11"/>
        <v>Present</v>
      </c>
      <c r="AF91" s="144">
        <f>'Field grain descriptors'!D90</f>
        <v>1</v>
      </c>
      <c r="AG91" s="146">
        <f>AVERAGE('Field grain descriptors'!E90:H90)</f>
        <v>2.56</v>
      </c>
      <c r="AH91" s="147">
        <f>STDEV('Field grain descriptors'!E90:H90)</f>
        <v>0.3544009029333867</v>
      </c>
      <c r="AI91" s="148" t="str">
        <f t="shared" si="12"/>
        <v>Long</v>
      </c>
      <c r="AJ91" s="136">
        <f>'Field grain descriptors'!I90</f>
        <v>1</v>
      </c>
      <c r="AK91" s="130" t="s">
        <v>210</v>
      </c>
      <c r="AL91" s="144">
        <f>'Lab descriptors of grain qualit'!C90</f>
        <v>1</v>
      </c>
      <c r="AM91" s="149" t="str">
        <f t="shared" si="13"/>
        <v>Straw</v>
      </c>
      <c r="AN91" s="146">
        <f>AVERAGE('Lab descriptors of grain qualit'!D90:M90)</f>
        <v>9.007000000000001</v>
      </c>
      <c r="AO91" s="147">
        <f>STDEV('Lab descriptors of grain qualit'!D90:M90)</f>
        <v>0.5487369335320871</v>
      </c>
      <c r="AP91" s="146">
        <f>AVERAGE('Lab descriptors of grain qualit'!N90:W90)</f>
        <v>2.702</v>
      </c>
      <c r="AQ91" s="149">
        <f>STDEV('Lab descriptors of grain qualit'!N90:W90)</f>
        <v>0.120720061851097</v>
      </c>
      <c r="AR91" s="382">
        <f t="shared" si="15"/>
        <v>3.3334566987416734</v>
      </c>
      <c r="AS91" s="147">
        <f>AVERAGE('Lab descriptors of grain qualit'!X90:AG90)</f>
        <v>3.3339553227508474</v>
      </c>
      <c r="AT91" s="381">
        <f>STDEV('Lab descriptors of grain qualit'!X90:AG90)</f>
        <v>0.15164008115969274</v>
      </c>
      <c r="AU91" s="130" t="s">
        <v>210</v>
      </c>
      <c r="AV91" s="146">
        <f>AVERAGE('Lab descriptors of grain qualit'!AI90:AR90)</f>
        <v>6.824</v>
      </c>
      <c r="AW91" s="147">
        <f>STDEV('Lab descriptors of grain qualit'!AI90:AR90)</f>
        <v>0.15435888917284848</v>
      </c>
      <c r="AX91" s="146">
        <f>AVERAGE('Lab descriptors of grain qualit'!AS90:BB90)</f>
        <v>2.3440000000000003</v>
      </c>
      <c r="AY91" s="147">
        <f>STDEV('Lab descriptors of grain qualit'!AS90:BB90)</f>
        <v>0.05947922139518363</v>
      </c>
      <c r="AZ91" s="146">
        <f>AVERAGE('Lab descriptors of grain qualit'!BC90:BL90)</f>
        <v>2.913540870687577</v>
      </c>
      <c r="BA91" s="147">
        <f>STDEV('Lab descriptors of grain qualit'!BC90:BL90)</f>
        <v>0.11548119022765704</v>
      </c>
      <c r="BB91" s="151" t="str">
        <f t="shared" si="16"/>
        <v>Long A</v>
      </c>
      <c r="BC91" s="133">
        <f>'Lab descriptors of grain qualit'!BM90</f>
        <v>23.96</v>
      </c>
      <c r="BD91" s="152">
        <f>'Lab descriptors of grain qualit'!BO90</f>
        <v>0.7132721202003338</v>
      </c>
      <c r="BE91" s="152">
        <f>'Lab descriptors of grain qualit'!BQ90</f>
        <v>0.582220367278798</v>
      </c>
      <c r="BF91" s="130" t="s">
        <v>210</v>
      </c>
      <c r="BG91" s="386">
        <v>22.31</v>
      </c>
      <c r="BH91" s="153"/>
      <c r="BI91" s="154" t="str">
        <f t="shared" si="14"/>
        <v>Intermediate</v>
      </c>
      <c r="BJ91" s="154">
        <f>'Lab descriptors of grain qu (2)'!E90</f>
        <v>5</v>
      </c>
      <c r="BK91" s="155">
        <f>'Lab descriptors of grain qu (2)'!F90</f>
        <v>0.93</v>
      </c>
      <c r="BL91" s="154">
        <f>'Lab descriptors of grain qu (2)'!G90</f>
        <v>9</v>
      </c>
      <c r="BM91" s="156">
        <f>'Lab descriptors of grain qu (2)'!H90</f>
        <v>9</v>
      </c>
      <c r="BN91" s="157">
        <f>'Lab descriptors of grain qu (2)'!I90</f>
        <v>9</v>
      </c>
      <c r="BO91" s="158">
        <f>'Lab descriptors of grain qu (2)'!K90</f>
        <v>0</v>
      </c>
      <c r="BP91" s="140"/>
      <c r="BQ91" s="478" t="s">
        <v>210</v>
      </c>
      <c r="BR91" s="480">
        <v>0</v>
      </c>
      <c r="BS91" s="483"/>
    </row>
    <row r="92" spans="1:71" ht="21">
      <c r="A92" s="194">
        <v>1674</v>
      </c>
      <c r="B92" s="130" t="s">
        <v>211</v>
      </c>
      <c r="C92" s="127"/>
      <c r="D92" s="93"/>
      <c r="E92" s="128">
        <f>'Agronomic traits'!F91</f>
        <v>89</v>
      </c>
      <c r="F92" s="128">
        <f>'Agronomic traits'!H91</f>
        <v>121</v>
      </c>
      <c r="G92" s="129">
        <f>'Agronomic traits'!I91</f>
        <v>78</v>
      </c>
      <c r="H92" s="129">
        <f>'Agronomic traits'!J91</f>
        <v>9</v>
      </c>
      <c r="I92" s="129">
        <f>'Agronomic traits'!K91</f>
        <v>1</v>
      </c>
      <c r="J92" s="130">
        <f>'Agronomic traits'!L91</f>
        <v>2</v>
      </c>
      <c r="K92" s="191" t="s">
        <v>211</v>
      </c>
      <c r="L92" s="132">
        <f>'Field plant descriptors'!C91</f>
        <v>2</v>
      </c>
      <c r="M92" s="128"/>
      <c r="N92" s="128">
        <f>'Field plant descriptors'!E91</f>
        <v>2</v>
      </c>
      <c r="O92" s="128">
        <f>'Field plant descriptors'!F91</f>
        <v>3</v>
      </c>
      <c r="P92" s="133">
        <f>AVERAGE('Field plant descriptors'!G91:L91)</f>
        <v>14.766666666666666</v>
      </c>
      <c r="Q92" s="134">
        <f>STDEV('Field plant descriptors'!G91:L91)</f>
        <v>0.6501281924871787</v>
      </c>
      <c r="R92" s="135">
        <f>'Field plant descriptors'!M91</f>
        <v>5</v>
      </c>
      <c r="S92" s="136">
        <f>'Diseases (blast)'!C100</f>
        <v>4</v>
      </c>
      <c r="T92" s="137">
        <f>'Diseases (blast)'!D100</f>
        <v>1</v>
      </c>
      <c r="U92" s="138"/>
      <c r="V92" s="138"/>
      <c r="W92" s="138"/>
      <c r="X92" s="139"/>
      <c r="Y92" s="130" t="s">
        <v>211</v>
      </c>
      <c r="Z92" s="140"/>
      <c r="AA92" s="141"/>
      <c r="AB92" s="142"/>
      <c r="AC92" s="143"/>
      <c r="AD92" s="144">
        <f>'Field grain descriptors'!C91</f>
        <v>1</v>
      </c>
      <c r="AE92" s="145" t="str">
        <f t="shared" si="11"/>
        <v>Absent</v>
      </c>
      <c r="AF92" s="144">
        <f>'Field grain descriptors'!D91</f>
        <v>5</v>
      </c>
      <c r="AG92" s="146">
        <f>AVERAGE('Field grain descriptors'!E91:H91)</f>
        <v>2.54</v>
      </c>
      <c r="AH92" s="147">
        <f>STDEV('Field grain descriptors'!E91:H91)</f>
        <v>0.3240370349203919</v>
      </c>
      <c r="AI92" s="148" t="str">
        <f t="shared" si="12"/>
        <v>Long</v>
      </c>
      <c r="AJ92" s="136">
        <f>'Field grain descriptors'!I91</f>
        <v>1</v>
      </c>
      <c r="AK92" s="130" t="s">
        <v>211</v>
      </c>
      <c r="AL92" s="144">
        <f>'Lab descriptors of grain qualit'!C91</f>
        <v>3</v>
      </c>
      <c r="AM92" s="149" t="str">
        <f t="shared" si="13"/>
        <v>Gold</v>
      </c>
      <c r="AN92" s="146">
        <f>AVERAGE('Lab descriptors of grain qualit'!D91:M91)</f>
        <v>9.190999999999999</v>
      </c>
      <c r="AO92" s="147">
        <f>STDEV('Lab descriptors of grain qualit'!D91:M91)</f>
        <v>0.19507548396571223</v>
      </c>
      <c r="AP92" s="146">
        <f>AVERAGE('Lab descriptors of grain qualit'!N91:W91)</f>
        <v>3.0619999999999994</v>
      </c>
      <c r="AQ92" s="149">
        <f>STDEV('Lab descriptors of grain qualit'!N91:W91)</f>
        <v>0.06106462878699082</v>
      </c>
      <c r="AR92" s="382">
        <f t="shared" si="15"/>
        <v>3.001632919660353</v>
      </c>
      <c r="AS92" s="147">
        <f>AVERAGE('Lab descriptors of grain qualit'!X91:AG91)</f>
        <v>3.0025595157389486</v>
      </c>
      <c r="AT92" s="381">
        <f>STDEV('Lab descriptors of grain qualit'!X91:AG91)</f>
        <v>0.08176647483094517</v>
      </c>
      <c r="AU92" s="130" t="s">
        <v>211</v>
      </c>
      <c r="AV92" s="146">
        <f>AVERAGE('Lab descriptors of grain qualit'!AI91:AR91)</f>
        <v>6.639</v>
      </c>
      <c r="AW92" s="147">
        <f>STDEV('Lab descriptors of grain qualit'!AI91:AR91)</f>
        <v>0.16210079169043884</v>
      </c>
      <c r="AX92" s="146">
        <f>AVERAGE('Lab descriptors of grain qualit'!AS91:BB91)</f>
        <v>2.598</v>
      </c>
      <c r="AY92" s="147">
        <f>STDEV('Lab descriptors of grain qualit'!AS91:BB91)</f>
        <v>0.0637355648144864</v>
      </c>
      <c r="AZ92" s="146">
        <f>AVERAGE('Lab descriptors of grain qualit'!BC91:BL91)</f>
        <v>2.555735776313128</v>
      </c>
      <c r="BA92" s="147">
        <f>STDEV('Lab descriptors of grain qualit'!BC91:BL91)</f>
        <v>0.041354439999927925</v>
      </c>
      <c r="BB92" s="151" t="str">
        <f t="shared" si="16"/>
        <v>Long A</v>
      </c>
      <c r="BC92" s="133">
        <f>'Lab descriptors of grain qualit'!BM91</f>
        <v>29.06</v>
      </c>
      <c r="BD92" s="152">
        <f>'Lab descriptors of grain qualit'!BO91</f>
        <v>0.7047487955953201</v>
      </c>
      <c r="BE92" s="152">
        <f>'Lab descriptors of grain qualit'!BQ91</f>
        <v>0.6345492085340675</v>
      </c>
      <c r="BF92" s="130" t="s">
        <v>211</v>
      </c>
      <c r="BG92" s="386">
        <v>18.33</v>
      </c>
      <c r="BH92" s="153"/>
      <c r="BI92" s="154" t="str">
        <f t="shared" si="14"/>
        <v>Intermediate</v>
      </c>
      <c r="BJ92" s="154">
        <f>'Lab descriptors of grain qu (2)'!E91</f>
        <v>5</v>
      </c>
      <c r="BK92" s="155">
        <f>'Lab descriptors of grain qu (2)'!F91</f>
        <v>0.34</v>
      </c>
      <c r="BL92" s="154">
        <f>'Lab descriptors of grain qu (2)'!G91</f>
        <v>5</v>
      </c>
      <c r="BM92" s="156">
        <f>'Lab descriptors of grain qu (2)'!H91</f>
        <v>5</v>
      </c>
      <c r="BN92" s="157">
        <f>'Lab descriptors of grain qu (2)'!I91</f>
        <v>0</v>
      </c>
      <c r="BO92" s="158">
        <f>'Lab descriptors of grain qu (2)'!K91</f>
        <v>0</v>
      </c>
      <c r="BP92" s="140"/>
      <c r="BQ92" s="478" t="s">
        <v>211</v>
      </c>
      <c r="BR92" s="480">
        <v>2.5</v>
      </c>
      <c r="BS92" s="483"/>
    </row>
    <row r="93" spans="1:71" ht="21">
      <c r="A93" s="194">
        <v>1676</v>
      </c>
      <c r="B93" s="130" t="s">
        <v>212</v>
      </c>
      <c r="C93" s="127"/>
      <c r="D93" s="93"/>
      <c r="E93" s="128">
        <f>'Agronomic traits'!F92</f>
        <v>89</v>
      </c>
      <c r="F93" s="128">
        <f>'Agronomic traits'!H92</f>
        <v>121</v>
      </c>
      <c r="G93" s="129">
        <f>'Agronomic traits'!I92</f>
        <v>80</v>
      </c>
      <c r="H93" s="129">
        <f>'Agronomic traits'!J92</f>
        <v>9</v>
      </c>
      <c r="I93" s="129">
        <f>'Agronomic traits'!K92</f>
        <v>2</v>
      </c>
      <c r="J93" s="130">
        <f>'Agronomic traits'!L92</f>
        <v>2</v>
      </c>
      <c r="K93" s="191" t="s">
        <v>212</v>
      </c>
      <c r="L93" s="132">
        <f>'Field plant descriptors'!C92</f>
        <v>2</v>
      </c>
      <c r="M93" s="128"/>
      <c r="N93" s="128">
        <f>'Field plant descriptors'!E92</f>
        <v>2</v>
      </c>
      <c r="O93" s="128">
        <f>'Field plant descriptors'!F92</f>
        <v>2</v>
      </c>
      <c r="P93" s="133">
        <f>AVERAGE('Field plant descriptors'!G92:L92)</f>
        <v>14.9</v>
      </c>
      <c r="Q93" s="134">
        <f>STDEV('Field plant descriptors'!G92:L92)</f>
        <v>0.9316651759081606</v>
      </c>
      <c r="R93" s="135">
        <f>'Field plant descriptors'!M92</f>
        <v>5</v>
      </c>
      <c r="S93" s="136">
        <f>'Diseases (blast)'!C102</f>
        <v>5</v>
      </c>
      <c r="T93" s="137">
        <f>'Diseases (blast)'!D102</f>
        <v>1</v>
      </c>
      <c r="U93" s="138"/>
      <c r="V93" s="138"/>
      <c r="W93" s="138"/>
      <c r="X93" s="139"/>
      <c r="Y93" s="130" t="s">
        <v>212</v>
      </c>
      <c r="Z93" s="140"/>
      <c r="AA93" s="141"/>
      <c r="AB93" s="142"/>
      <c r="AC93" s="143"/>
      <c r="AD93" s="144">
        <f>'Field grain descriptors'!C92</f>
        <v>9</v>
      </c>
      <c r="AE93" s="145" t="str">
        <f t="shared" si="11"/>
        <v>Present</v>
      </c>
      <c r="AF93" s="144">
        <f>'Field grain descriptors'!D92</f>
        <v>9</v>
      </c>
      <c r="AG93" s="146">
        <f>AVERAGE('Field grain descriptors'!E92:H92)</f>
        <v>2.6425</v>
      </c>
      <c r="AH93" s="147">
        <f>STDEV('Field grain descriptors'!E92:H92)</f>
        <v>0.10996211468803355</v>
      </c>
      <c r="AI93" s="148" t="str">
        <f t="shared" si="12"/>
        <v>Long</v>
      </c>
      <c r="AJ93" s="136">
        <f>'Field grain descriptors'!I92</f>
        <v>1</v>
      </c>
      <c r="AK93" s="130" t="s">
        <v>212</v>
      </c>
      <c r="AL93" s="144">
        <f>'Lab descriptors of grain qualit'!C92</f>
        <v>3</v>
      </c>
      <c r="AM93" s="149" t="str">
        <f t="shared" si="13"/>
        <v>Gold</v>
      </c>
      <c r="AN93" s="146">
        <f>AVERAGE('Lab descriptors of grain qualit'!D92:M92)</f>
        <v>8.722999999999999</v>
      </c>
      <c r="AO93" s="147">
        <f>STDEV('Lab descriptors of grain qualit'!D92:M92)</f>
        <v>0.22301220694045085</v>
      </c>
      <c r="AP93" s="146">
        <f>AVERAGE('Lab descriptors of grain qualit'!N92:W92)</f>
        <v>3.3050000000000006</v>
      </c>
      <c r="AQ93" s="149">
        <f>STDEV('Lab descriptors of grain qualit'!N92:W92)</f>
        <v>0.1149154278395786</v>
      </c>
      <c r="AR93" s="382">
        <f t="shared" si="15"/>
        <v>2.639334341906202</v>
      </c>
      <c r="AS93" s="147">
        <f>AVERAGE('Lab descriptors of grain qualit'!X92:AG92)</f>
        <v>2.6416418514931594</v>
      </c>
      <c r="AT93" s="381">
        <f>STDEV('Lab descriptors of grain qualit'!X92:AG92)</f>
        <v>0.09766204994170716</v>
      </c>
      <c r="AU93" s="130" t="s">
        <v>212</v>
      </c>
      <c r="AV93" s="146">
        <f>AVERAGE('Lab descriptors of grain qualit'!AI92:AR92)</f>
        <v>6.175999999999999</v>
      </c>
      <c r="AW93" s="147">
        <f>STDEV('Lab descriptors of grain qualit'!AI92:AR92)</f>
        <v>0.2544361958876789</v>
      </c>
      <c r="AX93" s="146">
        <f>AVERAGE('Lab descriptors of grain qualit'!AS92:BB92)</f>
        <v>2.789</v>
      </c>
      <c r="AY93" s="147">
        <f>STDEV('Lab descriptors of grain qualit'!AS92:BB92)</f>
        <v>0.08143845665421844</v>
      </c>
      <c r="AZ93" s="146">
        <f>AVERAGE('Lab descriptors of grain qualit'!BC92:BL92)</f>
        <v>2.2150765957837364</v>
      </c>
      <c r="BA93" s="147">
        <f>STDEV('Lab descriptors of grain qualit'!BC92:BL92)</f>
        <v>0.0861226335152711</v>
      </c>
      <c r="BB93" s="151" t="str">
        <f t="shared" si="16"/>
        <v>Long A</v>
      </c>
      <c r="BC93" s="133">
        <f>'Lab descriptors of grain qualit'!BM92</f>
        <v>30.32</v>
      </c>
      <c r="BD93" s="152">
        <f>'Lab descriptors of grain qualit'!BO92</f>
        <v>0.7051451187335092</v>
      </c>
      <c r="BE93" s="152">
        <f>'Lab descriptors of grain qualit'!BQ92</f>
        <v>0.5923482849604221</v>
      </c>
      <c r="BF93" s="130" t="s">
        <v>212</v>
      </c>
      <c r="BG93" s="387">
        <v>17.36</v>
      </c>
      <c r="BH93" s="153"/>
      <c r="BI93" s="154" t="str">
        <f t="shared" si="14"/>
        <v>High</v>
      </c>
      <c r="BJ93" s="154">
        <f>'Lab descriptors of grain qu (2)'!E92</f>
        <v>6</v>
      </c>
      <c r="BK93" s="155">
        <f>'Lab descriptors of grain qu (2)'!F92</f>
        <v>0.91</v>
      </c>
      <c r="BL93" s="154">
        <f>'Lab descriptors of grain qu (2)'!G92</f>
        <v>9</v>
      </c>
      <c r="BM93" s="156">
        <f>'Lab descriptors of grain qu (2)'!H92</f>
        <v>9</v>
      </c>
      <c r="BN93" s="157">
        <f>'Lab descriptors of grain qu (2)'!I92</f>
        <v>5</v>
      </c>
      <c r="BO93" s="158">
        <f>'Lab descriptors of grain qu (2)'!K92</f>
        <v>0</v>
      </c>
      <c r="BP93" s="140"/>
      <c r="BQ93" s="478" t="s">
        <v>212</v>
      </c>
      <c r="BR93" s="480">
        <v>2.5</v>
      </c>
      <c r="BS93" s="483"/>
    </row>
    <row r="94" spans="1:71" ht="21">
      <c r="A94" s="194">
        <v>1678</v>
      </c>
      <c r="B94" s="126" t="s">
        <v>213</v>
      </c>
      <c r="C94" s="127"/>
      <c r="D94" s="93"/>
      <c r="E94" s="128">
        <f>'Agronomic traits'!F93</f>
        <v>95</v>
      </c>
      <c r="F94" s="128">
        <f>'Agronomic traits'!H93</f>
        <v>143</v>
      </c>
      <c r="G94" s="129">
        <f>'Agronomic traits'!I93</f>
        <v>50</v>
      </c>
      <c r="H94" s="129">
        <f>'Agronomic traits'!J93</f>
        <v>9</v>
      </c>
      <c r="I94" s="129">
        <f>'Agronomic traits'!K93</f>
        <v>6</v>
      </c>
      <c r="J94" s="130">
        <f>'Agronomic traits'!L93</f>
        <v>2</v>
      </c>
      <c r="K94" s="131" t="s">
        <v>213</v>
      </c>
      <c r="L94" s="132">
        <f>'Field plant descriptors'!C93</f>
        <v>2</v>
      </c>
      <c r="M94" s="128"/>
      <c r="N94" s="128">
        <f>'Field plant descriptors'!E93</f>
        <v>4</v>
      </c>
      <c r="O94" s="128">
        <f>'Field plant descriptors'!F93</f>
        <v>3</v>
      </c>
      <c r="P94" s="133">
        <f>AVERAGE('Field plant descriptors'!G93:L93)</f>
        <v>17.78333333333333</v>
      </c>
      <c r="Q94" s="134">
        <f>STDEV('Field plant descriptors'!G93:L93)</f>
        <v>1.0147249216741983</v>
      </c>
      <c r="R94" s="135">
        <f>'Field plant descriptors'!M93</f>
        <v>5</v>
      </c>
      <c r="S94" s="136" t="str">
        <f>'Diseases (blast)'!C103</f>
        <v>2-3</v>
      </c>
      <c r="T94" s="137">
        <f>'Diseases (blast)'!D103</f>
        <v>1</v>
      </c>
      <c r="U94" s="138"/>
      <c r="V94" s="138"/>
      <c r="W94" s="138"/>
      <c r="X94" s="139"/>
      <c r="Y94" s="126" t="s">
        <v>213</v>
      </c>
      <c r="Z94" s="140"/>
      <c r="AA94" s="141"/>
      <c r="AB94" s="142"/>
      <c r="AC94" s="143"/>
      <c r="AD94" s="144">
        <f>'Field grain descriptors'!C93</f>
        <v>9</v>
      </c>
      <c r="AE94" s="145" t="str">
        <f t="shared" si="11"/>
        <v>Present</v>
      </c>
      <c r="AF94" s="144">
        <f>'Field grain descriptors'!D93</f>
        <v>3</v>
      </c>
      <c r="AG94" s="146">
        <f>AVERAGE('Field grain descriptors'!E93:H93)</f>
        <v>2.81</v>
      </c>
      <c r="AH94" s="147">
        <f>STDEV('Field grain descriptors'!E93:H93)</f>
        <v>0.18457157599875837</v>
      </c>
      <c r="AI94" s="148" t="str">
        <f t="shared" si="12"/>
        <v>Long</v>
      </c>
      <c r="AJ94" s="136">
        <f>'Field grain descriptors'!I93</f>
        <v>1</v>
      </c>
      <c r="AK94" s="126" t="s">
        <v>213</v>
      </c>
      <c r="AL94" s="144">
        <f>'Lab descriptors of grain qualit'!C93</f>
        <v>3</v>
      </c>
      <c r="AM94" s="149" t="str">
        <f t="shared" si="13"/>
        <v>Gold</v>
      </c>
      <c r="AN94" s="146">
        <f>AVERAGE('Lab descriptors of grain qualit'!D93:M93)</f>
        <v>9.989</v>
      </c>
      <c r="AO94" s="147">
        <f>STDEV('Lab descriptors of grain qualit'!D93:M93)</f>
        <v>0.42745889990864994</v>
      </c>
      <c r="AP94" s="146">
        <f>AVERAGE('Lab descriptors of grain qualit'!N93:W93)</f>
        <v>2.682</v>
      </c>
      <c r="AQ94" s="149">
        <f>STDEV('Lab descriptors of grain qualit'!N93:W93)</f>
        <v>0.1860585332033384</v>
      </c>
      <c r="AR94" s="382">
        <f t="shared" si="15"/>
        <v>3.724459358687547</v>
      </c>
      <c r="AS94" s="147">
        <f>AVERAGE('Lab descriptors of grain qualit'!X93:AG93)</f>
        <v>3.7457716655462443</v>
      </c>
      <c r="AT94" s="381">
        <f>STDEV('Lab descriptors of grain qualit'!X93:AG93)</f>
        <v>0.3683438156472313</v>
      </c>
      <c r="AU94" s="126" t="s">
        <v>213</v>
      </c>
      <c r="AV94" s="146">
        <f>AVERAGE('Lab descriptors of grain qualit'!AI93:AR93)</f>
        <v>7.328</v>
      </c>
      <c r="AW94" s="147">
        <f>STDEV('Lab descriptors of grain qualit'!AI93:AR93)</f>
        <v>0.5036047833150283</v>
      </c>
      <c r="AX94" s="146">
        <f>AVERAGE('Lab descriptors of grain qualit'!AS93:BB93)</f>
        <v>2.278</v>
      </c>
      <c r="AY94" s="147">
        <f>STDEV('Lab descriptors of grain qualit'!AS93:BB93)</f>
        <v>0.10239357618739879</v>
      </c>
      <c r="AZ94" s="146">
        <f>AVERAGE('Lab descriptors of grain qualit'!BC93:BL93)</f>
        <v>3.225664028740455</v>
      </c>
      <c r="BA94" s="147">
        <f>STDEV('Lab descriptors of grain qualit'!BC93:BL93)</f>
        <v>0.29740336035221404</v>
      </c>
      <c r="BB94" s="151" t="str">
        <f t="shared" si="16"/>
        <v>Long B</v>
      </c>
      <c r="BC94" s="133">
        <f>'Lab descriptors of grain qualit'!BM93</f>
        <v>27.5</v>
      </c>
      <c r="BD94" s="152">
        <f>'Lab descriptors of grain qualit'!BO93</f>
        <v>0.7036363636363637</v>
      </c>
      <c r="BE94" s="152">
        <f>'Lab descriptors of grain qualit'!BQ93</f>
        <v>0.6432727272727273</v>
      </c>
      <c r="BF94" s="126" t="s">
        <v>213</v>
      </c>
      <c r="BG94" s="386">
        <v>24.56</v>
      </c>
      <c r="BH94" s="153"/>
      <c r="BI94" s="154" t="str">
        <f t="shared" si="14"/>
        <v>Intermediate</v>
      </c>
      <c r="BJ94" s="154">
        <f>'Lab descriptors of grain qu (2)'!E93</f>
        <v>5</v>
      </c>
      <c r="BK94" s="155">
        <f>'Lab descriptors of grain qu (2)'!F93</f>
        <v>0.86</v>
      </c>
      <c r="BL94" s="154">
        <f>'Lab descriptors of grain qu (2)'!G93</f>
        <v>9</v>
      </c>
      <c r="BM94" s="156">
        <f>'Lab descriptors of grain qu (2)'!H93</f>
        <v>9</v>
      </c>
      <c r="BN94" s="157">
        <f>'Lab descriptors of grain qu (2)'!I93</f>
        <v>9</v>
      </c>
      <c r="BO94" s="158">
        <f>'Lab descriptors of grain qu (2)'!K93</f>
        <v>0</v>
      </c>
      <c r="BP94" s="140"/>
      <c r="BQ94" s="476" t="s">
        <v>213</v>
      </c>
      <c r="BR94" s="480">
        <v>1.5</v>
      </c>
      <c r="BS94" s="483"/>
    </row>
    <row r="95" spans="1:71" ht="21">
      <c r="A95" s="194">
        <v>1679</v>
      </c>
      <c r="B95" s="130" t="s">
        <v>214</v>
      </c>
      <c r="C95" s="127"/>
      <c r="D95" s="93"/>
      <c r="E95" s="128">
        <f>'Agronomic traits'!F94</f>
        <v>91</v>
      </c>
      <c r="F95" s="128">
        <f>'Agronomic traits'!H94</f>
        <v>127</v>
      </c>
      <c r="G95" s="129">
        <f>'Agronomic traits'!I94</f>
        <v>80</v>
      </c>
      <c r="H95" s="129">
        <f>'Agronomic traits'!J94</f>
        <v>9</v>
      </c>
      <c r="I95" s="129">
        <f>'Agronomic traits'!K94</f>
        <v>1</v>
      </c>
      <c r="J95" s="130">
        <f>'Agronomic traits'!L94</f>
        <v>2</v>
      </c>
      <c r="K95" s="191" t="s">
        <v>214</v>
      </c>
      <c r="L95" s="132">
        <f>'Field plant descriptors'!C94</f>
        <v>2</v>
      </c>
      <c r="M95" s="128"/>
      <c r="N95" s="128">
        <f>'Field plant descriptors'!E94</f>
        <v>2</v>
      </c>
      <c r="O95" s="128">
        <f>'Field plant descriptors'!F94</f>
        <v>3</v>
      </c>
      <c r="P95" s="133">
        <f>AVERAGE('Field plant descriptors'!G94:L94)</f>
        <v>14.133333333333335</v>
      </c>
      <c r="Q95" s="134">
        <f>STDEV('Field plant descriptors'!G94:L94)</f>
        <v>1.2612163441165338</v>
      </c>
      <c r="R95" s="135">
        <f>'Field plant descriptors'!M94</f>
        <v>5</v>
      </c>
      <c r="S95" s="136">
        <f>'Diseases (blast)'!C104</f>
        <v>2</v>
      </c>
      <c r="T95" s="137">
        <f>'Diseases (blast)'!D104</f>
        <v>2</v>
      </c>
      <c r="U95" s="138"/>
      <c r="V95" s="138"/>
      <c r="W95" s="138"/>
      <c r="X95" s="139"/>
      <c r="Y95" s="130" t="s">
        <v>214</v>
      </c>
      <c r="Z95" s="140"/>
      <c r="AA95" s="141"/>
      <c r="AB95" s="142"/>
      <c r="AC95" s="143"/>
      <c r="AD95" s="144">
        <f>'Field grain descriptors'!C94</f>
        <v>1</v>
      </c>
      <c r="AE95" s="145" t="str">
        <f t="shared" si="11"/>
        <v>Absent</v>
      </c>
      <c r="AF95" s="144">
        <f>'Field grain descriptors'!D94</f>
        <v>1</v>
      </c>
      <c r="AG95" s="146">
        <f>AVERAGE('Field grain descriptors'!E94:H94)</f>
        <v>2.42</v>
      </c>
      <c r="AH95" s="147">
        <f>STDEV('Field grain descriptors'!E94:H94)</f>
        <v>0.3139001964531616</v>
      </c>
      <c r="AI95" s="148" t="str">
        <f t="shared" si="12"/>
        <v>Medium</v>
      </c>
      <c r="AJ95" s="136">
        <f>'Field grain descriptors'!I94</f>
        <v>1</v>
      </c>
      <c r="AK95" s="130" t="s">
        <v>214</v>
      </c>
      <c r="AL95" s="144">
        <f>'Lab descriptors of grain qualit'!C94</f>
        <v>3</v>
      </c>
      <c r="AM95" s="149" t="str">
        <f t="shared" si="13"/>
        <v>Gold</v>
      </c>
      <c r="AN95" s="146">
        <f>AVERAGE('Lab descriptors of grain qualit'!D94:M94)</f>
        <v>8.927000000000001</v>
      </c>
      <c r="AO95" s="147">
        <f>STDEV('Lab descriptors of grain qualit'!D94:M94)</f>
        <v>0.22612926490049912</v>
      </c>
      <c r="AP95" s="146">
        <f>AVERAGE('Lab descriptors of grain qualit'!N94:W94)</f>
        <v>3.019</v>
      </c>
      <c r="AQ95" s="149">
        <f>STDEV('Lab descriptors of grain qualit'!N94:W94)</f>
        <v>0.07324995259761848</v>
      </c>
      <c r="AR95" s="382">
        <f t="shared" si="15"/>
        <v>2.9569393839019544</v>
      </c>
      <c r="AS95" s="147">
        <f>AVERAGE('Lab descriptors of grain qualit'!X94:AG94)</f>
        <v>2.9582494317250267</v>
      </c>
      <c r="AT95" s="381">
        <f>STDEV('Lab descriptors of grain qualit'!X94:AG94)</f>
        <v>0.09493633677875546</v>
      </c>
      <c r="AU95" s="130" t="s">
        <v>214</v>
      </c>
      <c r="AV95" s="146">
        <f>AVERAGE('Lab descriptors of grain qualit'!AI94:AR94)</f>
        <v>6.615</v>
      </c>
      <c r="AW95" s="147">
        <f>STDEV('Lab descriptors of grain qualit'!AI94:AR94)</f>
        <v>0.19369219567822973</v>
      </c>
      <c r="AX95" s="146">
        <f>AVERAGE('Lab descriptors of grain qualit'!AS94:BB94)</f>
        <v>2.6160000000000005</v>
      </c>
      <c r="AY95" s="147">
        <f>STDEV('Lab descriptors of grain qualit'!AS94:BB94)</f>
        <v>0.0546097264433858</v>
      </c>
      <c r="AZ95" s="146">
        <f>AVERAGE('Lab descriptors of grain qualit'!BC94:BL94)</f>
        <v>2.5294727507368764</v>
      </c>
      <c r="BA95" s="147">
        <f>STDEV('Lab descriptors of grain qualit'!BC94:BL94)</f>
        <v>0.0853750694625243</v>
      </c>
      <c r="BB95" s="151" t="str">
        <f t="shared" si="16"/>
        <v>Long A</v>
      </c>
      <c r="BC95" s="133">
        <f>'Lab descriptors of grain qualit'!BM94</f>
        <v>28.76</v>
      </c>
      <c r="BD95" s="152">
        <f>'Lab descriptors of grain qualit'!BO94</f>
        <v>0.7131432545201669</v>
      </c>
      <c r="BE95" s="152">
        <f>'Lab descriptors of grain qualit'!BQ94</f>
        <v>0.6908901251738526</v>
      </c>
      <c r="BF95" s="130" t="s">
        <v>214</v>
      </c>
      <c r="BG95" s="386">
        <v>19.1</v>
      </c>
      <c r="BH95" s="153"/>
      <c r="BI95" s="154" t="str">
        <f t="shared" si="14"/>
        <v>High</v>
      </c>
      <c r="BJ95" s="154">
        <f>'Lab descriptors of grain qu (2)'!E94</f>
        <v>6</v>
      </c>
      <c r="BK95" s="155">
        <f>'Lab descriptors of grain qu (2)'!F94</f>
        <v>0.32</v>
      </c>
      <c r="BL95" s="154">
        <f>'Lab descriptors of grain qu (2)'!G94</f>
        <v>5</v>
      </c>
      <c r="BM95" s="156">
        <f>'Lab descriptors of grain qu (2)'!H94</f>
        <v>5</v>
      </c>
      <c r="BN95" s="157">
        <f>'Lab descriptors of grain qu (2)'!I94</f>
        <v>1</v>
      </c>
      <c r="BO95" s="158">
        <f>'Lab descriptors of grain qu (2)'!K94</f>
        <v>0</v>
      </c>
      <c r="BP95" s="140"/>
      <c r="BQ95" s="478" t="s">
        <v>214</v>
      </c>
      <c r="BR95" s="480">
        <v>1</v>
      </c>
      <c r="BS95" s="483"/>
    </row>
    <row r="96" spans="1:71" ht="21">
      <c r="A96" s="194">
        <v>1680</v>
      </c>
      <c r="B96" s="130" t="s">
        <v>215</v>
      </c>
      <c r="C96" s="127"/>
      <c r="D96" s="93"/>
      <c r="E96" s="128">
        <f>'Agronomic traits'!F95</f>
        <v>94</v>
      </c>
      <c r="F96" s="128">
        <f>'Agronomic traits'!H95</f>
        <v>133</v>
      </c>
      <c r="G96" s="129">
        <f>'Agronomic traits'!I95</f>
        <v>61</v>
      </c>
      <c r="H96" s="129">
        <f>'Agronomic traits'!J95</f>
        <v>9</v>
      </c>
      <c r="I96" s="129">
        <f>'Agronomic traits'!K95</f>
        <v>2</v>
      </c>
      <c r="J96" s="130">
        <f>'Agronomic traits'!L95</f>
        <v>2</v>
      </c>
      <c r="K96" s="191" t="s">
        <v>215</v>
      </c>
      <c r="L96" s="132">
        <f>'Field plant descriptors'!C95</f>
        <v>2</v>
      </c>
      <c r="M96" s="128"/>
      <c r="N96" s="128">
        <f>'Field plant descriptors'!E95</f>
        <v>2</v>
      </c>
      <c r="O96" s="128">
        <f>'Field plant descriptors'!F95</f>
        <v>3</v>
      </c>
      <c r="P96" s="133">
        <f>AVERAGE('Field plant descriptors'!G95:L95)</f>
        <v>14.783333333333337</v>
      </c>
      <c r="Q96" s="134">
        <f>STDEV('Field plant descriptors'!G95:L95)</f>
        <v>0.7884584115009357</v>
      </c>
      <c r="R96" s="135">
        <f>'Field plant descriptors'!M95</f>
        <v>5</v>
      </c>
      <c r="S96" s="136" t="str">
        <f>'Diseases (blast)'!C105</f>
        <v>1-2</v>
      </c>
      <c r="T96" s="137">
        <f>'Diseases (blast)'!D105</f>
        <v>1</v>
      </c>
      <c r="U96" s="138"/>
      <c r="V96" s="138"/>
      <c r="W96" s="138"/>
      <c r="X96" s="139"/>
      <c r="Y96" s="130" t="s">
        <v>215</v>
      </c>
      <c r="Z96" s="140"/>
      <c r="AA96" s="141"/>
      <c r="AB96" s="142"/>
      <c r="AC96" s="143"/>
      <c r="AD96" s="144">
        <f>'Field grain descriptors'!C95</f>
        <v>1</v>
      </c>
      <c r="AE96" s="145" t="str">
        <f t="shared" si="11"/>
        <v>Absent</v>
      </c>
      <c r="AF96" s="144">
        <f>'Field grain descriptors'!D95</f>
        <v>5</v>
      </c>
      <c r="AG96" s="146">
        <f>AVERAGE('Field grain descriptors'!E95:H95)</f>
        <v>2.73</v>
      </c>
      <c r="AH96" s="147">
        <f>STDEV('Field grain descriptors'!E95:H95)</f>
        <v>0.1856520042085883</v>
      </c>
      <c r="AI96" s="148" t="str">
        <f t="shared" si="12"/>
        <v>Long</v>
      </c>
      <c r="AJ96" s="136">
        <f>'Field grain descriptors'!I95</f>
        <v>1</v>
      </c>
      <c r="AK96" s="130" t="s">
        <v>215</v>
      </c>
      <c r="AL96" s="144">
        <f>'Lab descriptors of grain qualit'!C95</f>
        <v>3</v>
      </c>
      <c r="AM96" s="149" t="str">
        <f t="shared" si="13"/>
        <v>Gold</v>
      </c>
      <c r="AN96" s="146">
        <f>AVERAGE('Lab descriptors of grain qualit'!D95:M95)</f>
        <v>7.653999999999999</v>
      </c>
      <c r="AO96" s="147">
        <f>STDEV('Lab descriptors of grain qualit'!D95:M95)</f>
        <v>0.1447756885669479</v>
      </c>
      <c r="AP96" s="146">
        <f>AVERAGE('Lab descriptors of grain qualit'!N95:W95)</f>
        <v>3.3920000000000003</v>
      </c>
      <c r="AQ96" s="149">
        <f>STDEV('Lab descriptors of grain qualit'!N95:W95)</f>
        <v>0.16335374022177515</v>
      </c>
      <c r="AR96" s="382">
        <f t="shared" si="15"/>
        <v>2.2564858490566033</v>
      </c>
      <c r="AS96" s="147">
        <f>AVERAGE('Lab descriptors of grain qualit'!X95:AG95)</f>
        <v>2.260430511661272</v>
      </c>
      <c r="AT96" s="381">
        <f>STDEV('Lab descriptors of grain qualit'!X95:AG95)</f>
        <v>0.09912111179512592</v>
      </c>
      <c r="AU96" s="130" t="s">
        <v>215</v>
      </c>
      <c r="AV96" s="146">
        <f>AVERAGE('Lab descriptors of grain qualit'!AI95:AR95)</f>
        <v>5.2170000000000005</v>
      </c>
      <c r="AW96" s="147">
        <f>STDEV('Lab descriptors of grain qualit'!AI95:AR95)</f>
        <v>0.15867857098199553</v>
      </c>
      <c r="AX96" s="146">
        <f>AVERAGE('Lab descriptors of grain qualit'!AS95:BB95)</f>
        <v>2.9059999999999997</v>
      </c>
      <c r="AY96" s="147">
        <f>STDEV('Lab descriptors of grain qualit'!AS95:BB95)</f>
        <v>0.0972053953692366</v>
      </c>
      <c r="AZ96" s="146">
        <f>AVERAGE('Lab descriptors of grain qualit'!BC95:BL95)</f>
        <v>1.7962880274944708</v>
      </c>
      <c r="BA96" s="147">
        <f>STDEV('Lab descriptors of grain qualit'!BC95:BL95)</f>
        <v>0.05971609680865883</v>
      </c>
      <c r="BB96" s="151" t="str">
        <f t="shared" si="16"/>
        <v>Medium</v>
      </c>
      <c r="BC96" s="133">
        <f>'Lab descriptors of grain qualit'!BM95</f>
        <v>27.32</v>
      </c>
      <c r="BD96" s="152">
        <f>'Lab descriptors of grain qualit'!BO95</f>
        <v>0.711566617862372</v>
      </c>
      <c r="BE96" s="152">
        <f>'Lab descriptors of grain qualit'!BQ95</f>
        <v>0.6870424597364568</v>
      </c>
      <c r="BF96" s="130" t="s">
        <v>215</v>
      </c>
      <c r="BG96" s="387">
        <v>17.25</v>
      </c>
      <c r="BH96" s="153"/>
      <c r="BI96" s="154" t="str">
        <f t="shared" si="14"/>
        <v>High</v>
      </c>
      <c r="BJ96" s="154">
        <f>'Lab descriptors of grain qu (2)'!E95</f>
        <v>6</v>
      </c>
      <c r="BK96" s="155">
        <f>'Lab descriptors of grain qu (2)'!F95</f>
        <v>0.45</v>
      </c>
      <c r="BL96" s="154">
        <f>'Lab descriptors of grain qu (2)'!G95</f>
        <v>5</v>
      </c>
      <c r="BM96" s="156">
        <f>'Lab descriptors of grain qu (2)'!H95</f>
        <v>5</v>
      </c>
      <c r="BN96" s="157">
        <f>'Lab descriptors of grain qu (2)'!I95</f>
        <v>0</v>
      </c>
      <c r="BO96" s="158">
        <f>'Lab descriptors of grain qu (2)'!K95</f>
        <v>5</v>
      </c>
      <c r="BP96" s="140"/>
      <c r="BQ96" s="478" t="s">
        <v>215</v>
      </c>
      <c r="BR96" s="480">
        <v>3</v>
      </c>
      <c r="BS96" s="483"/>
    </row>
    <row r="97" spans="1:71" ht="21">
      <c r="A97" s="194">
        <v>1681</v>
      </c>
      <c r="B97" s="130" t="s">
        <v>216</v>
      </c>
      <c r="C97" s="127"/>
      <c r="D97" s="93"/>
      <c r="E97" s="128">
        <f>'Agronomic traits'!F96</f>
        <v>107</v>
      </c>
      <c r="F97" s="128">
        <f>'Agronomic traits'!H96</f>
        <v>155</v>
      </c>
      <c r="G97" s="129">
        <f>'Agronomic traits'!I96</f>
        <v>55</v>
      </c>
      <c r="H97" s="129">
        <f>'Agronomic traits'!J96</f>
        <v>9</v>
      </c>
      <c r="I97" s="129">
        <f>'Agronomic traits'!K96</f>
        <v>6</v>
      </c>
      <c r="J97" s="130">
        <f>'Agronomic traits'!L96</f>
        <v>4</v>
      </c>
      <c r="K97" s="191" t="s">
        <v>216</v>
      </c>
      <c r="L97" s="132">
        <f>'Field plant descriptors'!C96</f>
        <v>2</v>
      </c>
      <c r="M97" s="128"/>
      <c r="N97" s="128">
        <f>'Field plant descriptors'!E96</f>
        <v>2</v>
      </c>
      <c r="O97" s="128">
        <f>'Field plant descriptors'!F96</f>
        <v>4</v>
      </c>
      <c r="P97" s="133">
        <f>AVERAGE('Field plant descriptors'!G96:L96)</f>
        <v>17.400000000000002</v>
      </c>
      <c r="Q97" s="134">
        <f>STDEV('Field plant descriptors'!G96:L96)</f>
        <v>1.4212670403551673</v>
      </c>
      <c r="R97" s="135">
        <f>'Field plant descriptors'!M96</f>
        <v>5</v>
      </c>
      <c r="S97" s="136" t="str">
        <f>'Diseases (blast)'!C106</f>
        <v>2-3</v>
      </c>
      <c r="T97" s="137">
        <f>'Diseases (blast)'!D106</f>
        <v>1</v>
      </c>
      <c r="U97" s="138"/>
      <c r="V97" s="138"/>
      <c r="W97" s="138"/>
      <c r="X97" s="139"/>
      <c r="Y97" s="130" t="s">
        <v>216</v>
      </c>
      <c r="Z97" s="140"/>
      <c r="AA97" s="141"/>
      <c r="AB97" s="142"/>
      <c r="AC97" s="143"/>
      <c r="AD97" s="144">
        <f>'Field grain descriptors'!C96</f>
        <v>1</v>
      </c>
      <c r="AE97" s="145" t="str">
        <f t="shared" si="11"/>
        <v>Absent</v>
      </c>
      <c r="AF97" s="144">
        <f>'Field grain descriptors'!D96</f>
        <v>3</v>
      </c>
      <c r="AG97" s="146">
        <f>AVERAGE('Field grain descriptors'!E96:H96)</f>
        <v>2.2475</v>
      </c>
      <c r="AH97" s="147">
        <f>STDEV('Field grain descriptors'!E96:H96)</f>
        <v>0.21313141485946935</v>
      </c>
      <c r="AI97" s="148" t="str">
        <f t="shared" si="12"/>
        <v>Medium</v>
      </c>
      <c r="AJ97" s="136">
        <f>'Field grain descriptors'!I96</f>
        <v>1</v>
      </c>
      <c r="AK97" s="130" t="s">
        <v>216</v>
      </c>
      <c r="AL97" s="144">
        <f>'Lab descriptors of grain qualit'!C96</f>
        <v>3</v>
      </c>
      <c r="AM97" s="149" t="str">
        <f t="shared" si="13"/>
        <v>Gold</v>
      </c>
      <c r="AN97" s="146">
        <f>AVERAGE('Lab descriptors of grain qualit'!D96:M96)</f>
        <v>7.661</v>
      </c>
      <c r="AO97" s="147">
        <f>STDEV('Lab descriptors of grain qualit'!D96:M96)</f>
        <v>0.1981834167297123</v>
      </c>
      <c r="AP97" s="146">
        <f>AVERAGE('Lab descriptors of grain qualit'!N96:W96)</f>
        <v>2.9899999999999998</v>
      </c>
      <c r="AQ97" s="149">
        <f>STDEV('Lab descriptors of grain qualit'!N96:W96)</f>
        <v>0.05696002496881419</v>
      </c>
      <c r="AR97" s="382">
        <f t="shared" si="15"/>
        <v>2.5622073578595317</v>
      </c>
      <c r="AS97" s="147">
        <f>AVERAGE('Lab descriptors of grain qualit'!X96:AG96)</f>
        <v>2.5629206434436385</v>
      </c>
      <c r="AT97" s="381">
        <f>STDEV('Lab descriptors of grain qualit'!X96:AG96)</f>
        <v>0.07745998695492745</v>
      </c>
      <c r="AU97" s="130" t="s">
        <v>216</v>
      </c>
      <c r="AV97" s="146">
        <f>AVERAGE('Lab descriptors of grain qualit'!AI96:AR96)</f>
        <v>5.181</v>
      </c>
      <c r="AW97" s="147">
        <f>STDEV('Lab descriptors of grain qualit'!AI96:AR96)</f>
        <v>0.2342576928654911</v>
      </c>
      <c r="AX97" s="146">
        <f>AVERAGE('Lab descriptors of grain qualit'!AS96:BB96)</f>
        <v>2.567</v>
      </c>
      <c r="AY97" s="147">
        <f>STDEV('Lab descriptors of grain qualit'!AS96:BB96)</f>
        <v>0.1662026875033411</v>
      </c>
      <c r="AZ97" s="146">
        <f>AVERAGE('Lab descriptors of grain qualit'!BC96:BL96)</f>
        <v>2.02305302146216</v>
      </c>
      <c r="BA97" s="147">
        <f>STDEV('Lab descriptors of grain qualit'!BC96:BL96)</f>
        <v>0.11708552366271807</v>
      </c>
      <c r="BB97" s="151" t="str">
        <f t="shared" si="16"/>
        <v>Medium</v>
      </c>
      <c r="BC97" s="133">
        <f>'Lab descriptors of grain qualit'!BM96</f>
        <v>21.23</v>
      </c>
      <c r="BD97" s="152">
        <f>'Lab descriptors of grain qualit'!BO96</f>
        <v>0.6858219500706547</v>
      </c>
      <c r="BE97" s="152">
        <f>'Lab descriptors of grain qualit'!BQ96</f>
        <v>0.67687235044748</v>
      </c>
      <c r="BF97" s="130" t="s">
        <v>216</v>
      </c>
      <c r="BG97" s="387">
        <v>15.73</v>
      </c>
      <c r="BH97" s="153"/>
      <c r="BI97" s="154" t="str">
        <f t="shared" si="14"/>
        <v>High</v>
      </c>
      <c r="BJ97" s="154">
        <f>'Lab descriptors of grain qu (2)'!E96</f>
        <v>7</v>
      </c>
      <c r="BK97" s="155">
        <f>'Lab descriptors of grain qu (2)'!F96</f>
        <v>0.27</v>
      </c>
      <c r="BL97" s="154">
        <f>'Lab descriptors of grain qu (2)'!G96</f>
        <v>9</v>
      </c>
      <c r="BM97" s="156">
        <f>'Lab descriptors of grain qu (2)'!H96</f>
        <v>9</v>
      </c>
      <c r="BN97" s="157">
        <f>'Lab descriptors of grain qu (2)'!I96</f>
        <v>9</v>
      </c>
      <c r="BO97" s="158">
        <f>'Lab descriptors of grain qu (2)'!K96</f>
        <v>0</v>
      </c>
      <c r="BP97" s="140"/>
      <c r="BQ97" s="478" t="s">
        <v>216</v>
      </c>
      <c r="BR97" s="480">
        <v>0</v>
      </c>
      <c r="BS97" s="483"/>
    </row>
    <row r="98" spans="1:71" ht="21">
      <c r="A98" s="194">
        <v>1682</v>
      </c>
      <c r="B98" s="130" t="s">
        <v>217</v>
      </c>
      <c r="C98" s="127"/>
      <c r="D98" s="93"/>
      <c r="E98" s="128">
        <f>'Agronomic traits'!F97</f>
        <v>90</v>
      </c>
      <c r="F98" s="128">
        <f>'Agronomic traits'!H97</f>
        <v>123</v>
      </c>
      <c r="G98" s="129">
        <f>'Agronomic traits'!I97</f>
        <v>85</v>
      </c>
      <c r="H98" s="129">
        <f>'Agronomic traits'!J97</f>
        <v>8</v>
      </c>
      <c r="I98" s="129">
        <f>'Agronomic traits'!K97</f>
        <v>1</v>
      </c>
      <c r="J98" s="130">
        <f>'Agronomic traits'!L97</f>
        <v>2</v>
      </c>
      <c r="K98" s="191" t="s">
        <v>217</v>
      </c>
      <c r="L98" s="132">
        <f>'Field plant descriptors'!C97</f>
        <v>6</v>
      </c>
      <c r="M98" s="128"/>
      <c r="N98" s="128">
        <f>'Field plant descriptors'!E97</f>
        <v>6</v>
      </c>
      <c r="O98" s="128">
        <f>'Field plant descriptors'!F97</f>
        <v>3</v>
      </c>
      <c r="P98" s="133">
        <f>AVERAGE('Field plant descriptors'!G97:L97)</f>
        <v>18.3</v>
      </c>
      <c r="Q98" s="134">
        <f>STDEV('Field plant descriptors'!G97:L97)</f>
        <v>0.6841052550594708</v>
      </c>
      <c r="R98" s="135">
        <f>'Field plant descriptors'!M97</f>
        <v>5</v>
      </c>
      <c r="S98" s="136" t="str">
        <f>'Diseases (blast)'!C107</f>
        <v>3-4</v>
      </c>
      <c r="T98" s="137">
        <f>'Diseases (blast)'!D107</f>
        <v>1</v>
      </c>
      <c r="U98" s="138"/>
      <c r="V98" s="138"/>
      <c r="W98" s="138"/>
      <c r="X98" s="139"/>
      <c r="Y98" s="130" t="s">
        <v>217</v>
      </c>
      <c r="Z98" s="140"/>
      <c r="AA98" s="141"/>
      <c r="AB98" s="142"/>
      <c r="AC98" s="143"/>
      <c r="AD98" s="144">
        <f>'Field grain descriptors'!C97</f>
        <v>1</v>
      </c>
      <c r="AE98" s="145" t="str">
        <f t="shared" si="11"/>
        <v>Absent</v>
      </c>
      <c r="AF98" s="144">
        <f>'Field grain descriptors'!D97</f>
        <v>3</v>
      </c>
      <c r="AG98" s="146">
        <f>AVERAGE('Field grain descriptors'!E97:H97)</f>
        <v>2.8249999999999997</v>
      </c>
      <c r="AH98" s="147">
        <f>STDEV('Field grain descriptors'!E97:H97)</f>
        <v>0.3167017524422653</v>
      </c>
      <c r="AI98" s="148" t="str">
        <f t="shared" si="12"/>
        <v>Long</v>
      </c>
      <c r="AJ98" s="136">
        <f>'Field grain descriptors'!I97</f>
        <v>1</v>
      </c>
      <c r="AK98" s="130" t="s">
        <v>217</v>
      </c>
      <c r="AL98" s="144">
        <f>'Lab descriptors of grain qualit'!C97</f>
        <v>1</v>
      </c>
      <c r="AM98" s="149" t="str">
        <f t="shared" si="13"/>
        <v>Straw</v>
      </c>
      <c r="AN98" s="146">
        <f>AVERAGE('Lab descriptors of grain qualit'!D97:M97)</f>
        <v>10.187999999999999</v>
      </c>
      <c r="AO98" s="147">
        <f>STDEV('Lab descriptors of grain qualit'!D97:M97)</f>
        <v>0.39530016724287115</v>
      </c>
      <c r="AP98" s="146">
        <f>AVERAGE('Lab descriptors of grain qualit'!N97:W97)</f>
        <v>2.5579999999999994</v>
      </c>
      <c r="AQ98" s="149">
        <f>STDEV('Lab descriptors of grain qualit'!N97:W97)</f>
        <v>0.053913510984449096</v>
      </c>
      <c r="AR98" s="382">
        <f t="shared" si="15"/>
        <v>3.982799061767006</v>
      </c>
      <c r="AS98" s="147">
        <f>AVERAGE('Lab descriptors of grain qualit'!X97:AG97)</f>
        <v>3.98322647371279</v>
      </c>
      <c r="AT98" s="381">
        <f>STDEV('Lab descriptors of grain qualit'!X97:AG97)</f>
        <v>0.1455847047106663</v>
      </c>
      <c r="AU98" s="130" t="s">
        <v>217</v>
      </c>
      <c r="AV98" s="146">
        <f>AVERAGE('Lab descriptors of grain qualit'!AI97:AR97)</f>
        <v>7.6282</v>
      </c>
      <c r="AW98" s="147">
        <f>STDEV('Lab descriptors of grain qualit'!AI97:AR97)</f>
        <v>0.22269351135588458</v>
      </c>
      <c r="AX98" s="146">
        <f>AVERAGE('Lab descriptors of grain qualit'!AS97:BB97)</f>
        <v>2.218</v>
      </c>
      <c r="AY98" s="147">
        <f>STDEV('Lab descriptors of grain qualit'!AS97:BB97)</f>
        <v>0.06408327915038936</v>
      </c>
      <c r="AZ98" s="146">
        <f>AVERAGE('Lab descriptors of grain qualit'!BC97:BL97)</f>
        <v>3.4412574130794296</v>
      </c>
      <c r="BA98" s="147">
        <f>STDEV('Lab descriptors of grain qualit'!BC97:BL97)</f>
        <v>0.12600240988128933</v>
      </c>
      <c r="BB98" s="151" t="str">
        <f t="shared" si="16"/>
        <v>Long B</v>
      </c>
      <c r="BC98" s="133">
        <f>'Lab descriptors of grain qualit'!BM97</f>
        <v>27.11</v>
      </c>
      <c r="BD98" s="152">
        <f>'Lab descriptors of grain qualit'!BO97</f>
        <v>0.7163408336407231</v>
      </c>
      <c r="BE98" s="152">
        <f>'Lab descriptors of grain qualit'!BQ97</f>
        <v>0.6137956473625968</v>
      </c>
      <c r="BF98" s="130" t="s">
        <v>217</v>
      </c>
      <c r="BG98" s="386">
        <v>20.68</v>
      </c>
      <c r="BH98" s="153"/>
      <c r="BI98" s="154" t="str">
        <f t="shared" si="14"/>
        <v>Low or intermediate</v>
      </c>
      <c r="BJ98" s="154">
        <f>'Lab descriptors of grain qu (2)'!E97</f>
        <v>3</v>
      </c>
      <c r="BK98" s="155">
        <f>'Lab descriptors of grain qu (2)'!F97</f>
        <v>0.64</v>
      </c>
      <c r="BL98" s="154">
        <f>'Lab descriptors of grain qu (2)'!G97</f>
        <v>5</v>
      </c>
      <c r="BM98" s="156">
        <f>'Lab descriptors of grain qu (2)'!H97</f>
        <v>5</v>
      </c>
      <c r="BN98" s="157">
        <f>'Lab descriptors of grain qu (2)'!I97</f>
        <v>5</v>
      </c>
      <c r="BO98" s="158">
        <f>'Lab descriptors of grain qu (2)'!K97</f>
        <v>0</v>
      </c>
      <c r="BP98" s="140"/>
      <c r="BQ98" s="478" t="s">
        <v>217</v>
      </c>
      <c r="BR98" s="480">
        <v>0.5</v>
      </c>
      <c r="BS98" s="483"/>
    </row>
    <row r="99" spans="1:71" ht="21">
      <c r="A99" s="194">
        <v>1684</v>
      </c>
      <c r="B99" s="130" t="s">
        <v>218</v>
      </c>
      <c r="C99" s="127"/>
      <c r="D99" s="93"/>
      <c r="E99" s="128">
        <f>'Agronomic traits'!F98</f>
        <v>87</v>
      </c>
      <c r="F99" s="128">
        <f>'Agronomic traits'!H98</f>
        <v>121</v>
      </c>
      <c r="G99" s="129">
        <f>'Agronomic traits'!I98</f>
        <v>72</v>
      </c>
      <c r="H99" s="129">
        <f>'Agronomic traits'!J98</f>
        <v>9</v>
      </c>
      <c r="I99" s="129">
        <f>'Agronomic traits'!K98</f>
        <v>1</v>
      </c>
      <c r="J99" s="130">
        <f>'Agronomic traits'!L98</f>
        <v>2</v>
      </c>
      <c r="K99" s="191" t="s">
        <v>218</v>
      </c>
      <c r="L99" s="132">
        <f>'Field plant descriptors'!C98</f>
        <v>2</v>
      </c>
      <c r="M99" s="128"/>
      <c r="N99" s="128">
        <f>'Field plant descriptors'!E98</f>
        <v>2</v>
      </c>
      <c r="O99" s="128">
        <f>'Field plant descriptors'!F98</f>
        <v>2</v>
      </c>
      <c r="P99" s="133">
        <f>AVERAGE('Field plant descriptors'!G98:L98)</f>
        <v>13.166666666666666</v>
      </c>
      <c r="Q99" s="134">
        <f>STDEV('Field plant descriptors'!G98:L98)</f>
        <v>0.8189424074173973</v>
      </c>
      <c r="R99" s="135">
        <f>'Field plant descriptors'!M98</f>
        <v>5</v>
      </c>
      <c r="S99" s="136" t="str">
        <f>'Diseases (blast)'!C108</f>
        <v>2-3</v>
      </c>
      <c r="T99" s="137">
        <f>'Diseases (blast)'!D108</f>
        <v>1</v>
      </c>
      <c r="U99" s="138"/>
      <c r="V99" s="138"/>
      <c r="W99" s="138"/>
      <c r="X99" s="139"/>
      <c r="Y99" s="130" t="s">
        <v>218</v>
      </c>
      <c r="Z99" s="140"/>
      <c r="AA99" s="141"/>
      <c r="AB99" s="142"/>
      <c r="AC99" s="143"/>
      <c r="AD99" s="144">
        <f>'Field grain descriptors'!C98</f>
        <v>1</v>
      </c>
      <c r="AE99" s="145" t="str">
        <f t="shared" si="11"/>
        <v>Absent</v>
      </c>
      <c r="AF99" s="144">
        <f>'Field grain descriptors'!D98</f>
        <v>7</v>
      </c>
      <c r="AG99" s="146">
        <f>AVERAGE('Field grain descriptors'!E98:H98)</f>
        <v>2.1475</v>
      </c>
      <c r="AH99" s="147">
        <f>STDEV('Field grain descriptors'!E98:H98)</f>
        <v>0.3758878378807517</v>
      </c>
      <c r="AI99" s="148" t="str">
        <f t="shared" si="12"/>
        <v>Medium</v>
      </c>
      <c r="AJ99" s="136">
        <f>'Field grain descriptors'!I98</f>
        <v>1</v>
      </c>
      <c r="AK99" s="130" t="s">
        <v>218</v>
      </c>
      <c r="AL99" s="144">
        <f>'Lab descriptors of grain qualit'!C98</f>
        <v>1</v>
      </c>
      <c r="AM99" s="149" t="str">
        <f t="shared" si="13"/>
        <v>Straw</v>
      </c>
      <c r="AN99" s="146">
        <f>AVERAGE('Lab descriptors of grain qualit'!D98:M98)</f>
        <v>9.389000000000001</v>
      </c>
      <c r="AO99" s="147">
        <f>STDEV('Lab descriptors of grain qualit'!D98:M98)</f>
        <v>0.3273615059159185</v>
      </c>
      <c r="AP99" s="146">
        <f>AVERAGE('Lab descriptors of grain qualit'!N98:W98)</f>
        <v>2.7370000000000005</v>
      </c>
      <c r="AQ99" s="149">
        <f>STDEV('Lab descriptors of grain qualit'!N98:W98)</f>
        <v>0.1411893921101842</v>
      </c>
      <c r="AR99" s="382">
        <f t="shared" si="15"/>
        <v>3.4303982462550233</v>
      </c>
      <c r="AS99" s="147">
        <f>AVERAGE('Lab descriptors of grain qualit'!X98:AG98)</f>
        <v>3.4353941660004397</v>
      </c>
      <c r="AT99" s="381">
        <f>STDEV('Lab descriptors of grain qualit'!X98:AG98)</f>
        <v>0.14572359644449612</v>
      </c>
      <c r="AU99" s="130" t="s">
        <v>218</v>
      </c>
      <c r="AV99" s="146">
        <f>AVERAGE('Lab descriptors of grain qualit'!AI98:AR98)</f>
        <v>6.9430000000000005</v>
      </c>
      <c r="AW99" s="147">
        <f>STDEV('Lab descriptors of grain qualit'!AI98:AR98)</f>
        <v>0.281742593316787</v>
      </c>
      <c r="AX99" s="146">
        <f>AVERAGE('Lab descriptors of grain qualit'!AS98:BB98)</f>
        <v>2.283</v>
      </c>
      <c r="AY99" s="147">
        <f>STDEV('Lab descriptors of grain qualit'!AS98:BB98)</f>
        <v>0.0929814796373788</v>
      </c>
      <c r="AZ99" s="146">
        <f>AVERAGE('Lab descriptors of grain qualit'!BC98:BL98)</f>
        <v>3.0430635903611076</v>
      </c>
      <c r="BA99" s="147">
        <f>STDEV('Lab descriptors of grain qualit'!BC98:BL98)</f>
        <v>0.1140163201158453</v>
      </c>
      <c r="BB99" s="151" t="str">
        <f t="shared" si="16"/>
        <v>Long B</v>
      </c>
      <c r="BC99" s="133">
        <f>'Lab descriptors of grain qualit'!BM98</f>
        <v>23.2</v>
      </c>
      <c r="BD99" s="152">
        <f>'Lab descriptors of grain qualit'!BO98</f>
        <v>0.6896551724137931</v>
      </c>
      <c r="BE99" s="152">
        <f>'Lab descriptors of grain qualit'!BQ98</f>
        <v>0.39353448275862074</v>
      </c>
      <c r="BF99" s="130" t="s">
        <v>218</v>
      </c>
      <c r="BG99" s="386">
        <v>19.17</v>
      </c>
      <c r="BH99" s="153"/>
      <c r="BI99" s="154" t="str">
        <f t="shared" si="14"/>
        <v>High</v>
      </c>
      <c r="BJ99" s="154">
        <f>'Lab descriptors of grain qu (2)'!E98</f>
        <v>6</v>
      </c>
      <c r="BK99" s="155">
        <f>'Lab descriptors of grain qu (2)'!F98</f>
        <v>0.39</v>
      </c>
      <c r="BL99" s="154">
        <f>'Lab descriptors of grain qu (2)'!G98</f>
        <v>9</v>
      </c>
      <c r="BM99" s="156">
        <f>'Lab descriptors of grain qu (2)'!H98</f>
        <v>9</v>
      </c>
      <c r="BN99" s="157">
        <f>'Lab descriptors of grain qu (2)'!I98</f>
        <v>9</v>
      </c>
      <c r="BO99" s="158">
        <f>'Lab descriptors of grain qu (2)'!K98</f>
        <v>0</v>
      </c>
      <c r="BP99" s="140"/>
      <c r="BQ99" s="478" t="s">
        <v>218</v>
      </c>
      <c r="BR99" s="480">
        <v>1.5</v>
      </c>
      <c r="BS99" s="483"/>
    </row>
    <row r="100" spans="1:71" ht="21">
      <c r="A100" s="194">
        <v>1685</v>
      </c>
      <c r="B100" s="130" t="s">
        <v>219</v>
      </c>
      <c r="C100" s="127"/>
      <c r="D100" s="93"/>
      <c r="E100" s="128">
        <f>'Agronomic traits'!F99</f>
        <v>85</v>
      </c>
      <c r="F100" s="128">
        <f>'Agronomic traits'!H99</f>
        <v>121</v>
      </c>
      <c r="G100" s="129">
        <f>'Agronomic traits'!I99</f>
        <v>63</v>
      </c>
      <c r="H100" s="129">
        <f>'Agronomic traits'!J99</f>
        <v>9</v>
      </c>
      <c r="I100" s="129">
        <f>'Agronomic traits'!K99</f>
        <v>6</v>
      </c>
      <c r="J100" s="130">
        <f>'Agronomic traits'!L99</f>
        <v>2</v>
      </c>
      <c r="K100" s="191" t="s">
        <v>219</v>
      </c>
      <c r="L100" s="132">
        <f>'Field plant descriptors'!C99</f>
        <v>2</v>
      </c>
      <c r="M100" s="128"/>
      <c r="N100" s="128">
        <f>'Field plant descriptors'!E99</f>
        <v>3</v>
      </c>
      <c r="O100" s="128">
        <f>'Field plant descriptors'!F99</f>
        <v>3</v>
      </c>
      <c r="P100" s="133">
        <f>AVERAGE('Field plant descriptors'!G99:L99)</f>
        <v>17.599999999999998</v>
      </c>
      <c r="Q100" s="134">
        <f>STDEV('Field plant descriptors'!G99:L99)</f>
        <v>4.199047511043434</v>
      </c>
      <c r="R100" s="135">
        <f>'Field plant descriptors'!M99</f>
        <v>5</v>
      </c>
      <c r="S100" s="136">
        <f>'Diseases (blast)'!C109</f>
        <v>2</v>
      </c>
      <c r="T100" s="137">
        <f>'Diseases (blast)'!D109</f>
        <v>1</v>
      </c>
      <c r="U100" s="138"/>
      <c r="V100" s="138"/>
      <c r="W100" s="138"/>
      <c r="X100" s="139"/>
      <c r="Y100" s="130" t="s">
        <v>219</v>
      </c>
      <c r="Z100" s="140"/>
      <c r="AA100" s="141"/>
      <c r="AB100" s="142"/>
      <c r="AC100" s="143"/>
      <c r="AD100" s="144">
        <f>'Field grain descriptors'!C99</f>
        <v>1</v>
      </c>
      <c r="AE100" s="145" t="str">
        <f t="shared" si="11"/>
        <v>Absent</v>
      </c>
      <c r="AF100" s="144">
        <f>'Field grain descriptors'!D99</f>
        <v>3</v>
      </c>
      <c r="AG100" s="146">
        <f>AVERAGE('Field grain descriptors'!E99:H99)</f>
        <v>2.9225000000000003</v>
      </c>
      <c r="AH100" s="147">
        <f>STDEV('Field grain descriptors'!E99:H99)</f>
        <v>0.22306576010973073</v>
      </c>
      <c r="AI100" s="148" t="str">
        <f t="shared" si="12"/>
        <v>Long</v>
      </c>
      <c r="AJ100" s="136">
        <f>'Field grain descriptors'!I99</f>
        <v>1</v>
      </c>
      <c r="AK100" s="130" t="s">
        <v>219</v>
      </c>
      <c r="AL100" s="144">
        <f>'Lab descriptors of grain qualit'!C99</f>
        <v>3</v>
      </c>
      <c r="AM100" s="149" t="str">
        <f t="shared" si="13"/>
        <v>Gold</v>
      </c>
      <c r="AN100" s="146">
        <f>AVERAGE('Lab descriptors of grain qualit'!D99:M99)</f>
        <v>9.786</v>
      </c>
      <c r="AO100" s="147">
        <f>STDEV('Lab descriptors of grain qualit'!D99:M99)</f>
        <v>0.5085098054337108</v>
      </c>
      <c r="AP100" s="146">
        <f>AVERAGE('Lab descriptors of grain qualit'!N99:W99)</f>
        <v>2.603</v>
      </c>
      <c r="AQ100" s="149">
        <f>STDEV('Lab descriptors of grain qualit'!N99:W99)</f>
        <v>0.14283245818479529</v>
      </c>
      <c r="AR100" s="382">
        <f t="shared" si="15"/>
        <v>3.7595082597003455</v>
      </c>
      <c r="AS100" s="147">
        <f>AVERAGE('Lab descriptors of grain qualit'!X99:AG99)</f>
        <v>3.774095928929549</v>
      </c>
      <c r="AT100" s="381">
        <f>STDEV('Lab descriptors of grain qualit'!X99:AG99)</f>
        <v>0.3428984976825896</v>
      </c>
      <c r="AU100" s="130" t="s">
        <v>219</v>
      </c>
      <c r="AV100" s="146">
        <f>AVERAGE('Lab descriptors of grain qualit'!AI99:AR99)</f>
        <v>6.975999999999999</v>
      </c>
      <c r="AW100" s="147">
        <f>STDEV('Lab descriptors of grain qualit'!AI99:AR99)</f>
        <v>0.6693479414076701</v>
      </c>
      <c r="AX100" s="146">
        <f>AVERAGE('Lab descriptors of grain qualit'!AS99:BB99)</f>
        <v>2.171</v>
      </c>
      <c r="AY100" s="147">
        <f>STDEV('Lab descriptors of grain qualit'!AS99:BB99)</f>
        <v>0.14301903525211793</v>
      </c>
      <c r="AZ100" s="146">
        <f>AVERAGE('Lab descriptors of grain qualit'!BC99:BL99)</f>
        <v>3.2374362063453797</v>
      </c>
      <c r="BA100" s="147">
        <f>STDEV('Lab descriptors of grain qualit'!BC99:BL99)</f>
        <v>0.4807135754252531</v>
      </c>
      <c r="BB100" s="151" t="str">
        <f t="shared" si="16"/>
        <v>Long B</v>
      </c>
      <c r="BC100" s="133">
        <f>'Lab descriptors of grain qualit'!BM99</f>
        <v>22.68</v>
      </c>
      <c r="BD100" s="152">
        <f>'Lab descriptors of grain qualit'!BO99</f>
        <v>0.705026455026455</v>
      </c>
      <c r="BE100" s="152">
        <f>'Lab descriptors of grain qualit'!BQ99</f>
        <v>0.5388007054673721</v>
      </c>
      <c r="BF100" s="130" t="s">
        <v>219</v>
      </c>
      <c r="BG100" s="386">
        <v>22.56</v>
      </c>
      <c r="BH100" s="153"/>
      <c r="BI100" s="154" t="str">
        <f t="shared" si="14"/>
        <v>Low or intermediate</v>
      </c>
      <c r="BJ100" s="154">
        <f>'Lab descriptors of grain qu (2)'!E99</f>
        <v>3</v>
      </c>
      <c r="BK100" s="155">
        <f>'Lab descriptors of grain qu (2)'!F99</f>
        <v>0.56</v>
      </c>
      <c r="BL100" s="154">
        <f>'Lab descriptors of grain qu (2)'!G99</f>
        <v>9</v>
      </c>
      <c r="BM100" s="156">
        <f>'Lab descriptors of grain qu (2)'!H99</f>
        <v>9</v>
      </c>
      <c r="BN100" s="157">
        <f>'Lab descriptors of grain qu (2)'!I99</f>
        <v>9</v>
      </c>
      <c r="BO100" s="158">
        <f>'Lab descriptors of grain qu (2)'!K99</f>
        <v>0</v>
      </c>
      <c r="BP100" s="140"/>
      <c r="BQ100" s="478" t="s">
        <v>219</v>
      </c>
      <c r="BR100" s="480">
        <v>2</v>
      </c>
      <c r="BS100" s="483"/>
    </row>
    <row r="101" spans="1:71" ht="21">
      <c r="A101" s="194">
        <v>1686</v>
      </c>
      <c r="B101" s="130" t="s">
        <v>220</v>
      </c>
      <c r="C101" s="127"/>
      <c r="D101" s="93"/>
      <c r="E101" s="128">
        <f>'Agronomic traits'!F100</f>
        <v>93</v>
      </c>
      <c r="F101" s="128">
        <f>'Agronomic traits'!H100</f>
        <v>150</v>
      </c>
      <c r="G101" s="129">
        <f>'Agronomic traits'!I100</f>
        <v>80</v>
      </c>
      <c r="H101" s="129">
        <f>'Agronomic traits'!J100</f>
        <v>9</v>
      </c>
      <c r="I101" s="129">
        <f>'Agronomic traits'!K100</f>
        <v>1</v>
      </c>
      <c r="J101" s="130">
        <f>'Agronomic traits'!L100</f>
        <v>2</v>
      </c>
      <c r="K101" s="191" t="s">
        <v>220</v>
      </c>
      <c r="L101" s="132">
        <f>'Field plant descriptors'!C100</f>
        <v>2</v>
      </c>
      <c r="M101" s="128"/>
      <c r="N101" s="128">
        <f>'Field plant descriptors'!E100</f>
        <v>2</v>
      </c>
      <c r="O101" s="128">
        <f>'Field plant descriptors'!F100</f>
        <v>2</v>
      </c>
      <c r="P101" s="133">
        <f>AVERAGE('Field plant descriptors'!G100:L100)</f>
        <v>15.566666666666668</v>
      </c>
      <c r="Q101" s="134">
        <f>STDEV('Field plant descriptors'!G100:L100)</f>
        <v>0.8500980335623655</v>
      </c>
      <c r="R101" s="135">
        <f>'Field plant descriptors'!M100</f>
        <v>5</v>
      </c>
      <c r="S101" s="136">
        <f>'Diseases (blast)'!C110</f>
        <v>5</v>
      </c>
      <c r="T101" s="137">
        <f>'Diseases (blast)'!D110</f>
        <v>1</v>
      </c>
      <c r="U101" s="138"/>
      <c r="V101" s="138"/>
      <c r="W101" s="138"/>
      <c r="X101" s="139"/>
      <c r="Y101" s="130" t="s">
        <v>220</v>
      </c>
      <c r="Z101" s="140"/>
      <c r="AA101" s="141"/>
      <c r="AB101" s="142"/>
      <c r="AC101" s="143"/>
      <c r="AD101" s="144">
        <f>'Field grain descriptors'!C100</f>
        <v>9</v>
      </c>
      <c r="AE101" s="145" t="str">
        <f t="shared" si="11"/>
        <v>Present</v>
      </c>
      <c r="AF101" s="144">
        <f>'Field grain descriptors'!D100</f>
        <v>9</v>
      </c>
      <c r="AG101" s="146">
        <f>AVERAGE('Field grain descriptors'!E100:H100)</f>
        <v>2.96</v>
      </c>
      <c r="AH101" s="147">
        <f>STDEV('Field grain descriptors'!E100:H100)</f>
        <v>0.5636192568273973</v>
      </c>
      <c r="AI101" s="148" t="str">
        <f t="shared" si="12"/>
        <v>Long</v>
      </c>
      <c r="AJ101" s="136">
        <f>'Field grain descriptors'!I100</f>
        <v>1</v>
      </c>
      <c r="AK101" s="130" t="s">
        <v>220</v>
      </c>
      <c r="AL101" s="144">
        <f>'Lab descriptors of grain qualit'!C100</f>
        <v>3</v>
      </c>
      <c r="AM101" s="149" t="str">
        <f t="shared" si="13"/>
        <v>Gold</v>
      </c>
      <c r="AN101" s="146">
        <f>AVERAGE('Lab descriptors of grain qualit'!D100:M100)</f>
        <v>9.395</v>
      </c>
      <c r="AO101" s="147">
        <f>STDEV('Lab descriptors of grain qualit'!D100:M100)</f>
        <v>0.32897990482369405</v>
      </c>
      <c r="AP101" s="146">
        <f>AVERAGE('Lab descriptors of grain qualit'!N100:W100)</f>
        <v>3.3590000000000004</v>
      </c>
      <c r="AQ101" s="149">
        <f>STDEV('Lab descriptors of grain qualit'!N100:W100)</f>
        <v>0.0723341013783978</v>
      </c>
      <c r="AR101" s="382">
        <f t="shared" si="15"/>
        <v>2.796963381958916</v>
      </c>
      <c r="AS101" s="147">
        <f>AVERAGE('Lab descriptors of grain qualit'!X100:AG100)</f>
        <v>2.7969141871192265</v>
      </c>
      <c r="AT101" s="381">
        <f>STDEV('Lab descriptors of grain qualit'!X100:AG100)</f>
        <v>0.07556730936070545</v>
      </c>
      <c r="AU101" s="130" t="s">
        <v>220</v>
      </c>
      <c r="AV101" s="146">
        <f>AVERAGE('Lab descriptors of grain qualit'!AI100:AR100)</f>
        <v>6.894999999999999</v>
      </c>
      <c r="AW101" s="147">
        <f>STDEV('Lab descriptors of grain qualit'!AI100:AR100)</f>
        <v>0.5204538617613</v>
      </c>
      <c r="AX101" s="146">
        <f>AVERAGE('Lab descriptors of grain qualit'!AS100:BB100)</f>
        <v>2.886</v>
      </c>
      <c r="AY101" s="147">
        <f>STDEV('Lab descriptors of grain qualit'!AS100:BB100)</f>
        <v>0.11471704319760316</v>
      </c>
      <c r="AZ101" s="146">
        <f>AVERAGE('Lab descriptors of grain qualit'!BC100:BL100)</f>
        <v>2.396774399521032</v>
      </c>
      <c r="BA101" s="147">
        <f>STDEV('Lab descriptors of grain qualit'!BC100:BL100)</f>
        <v>0.26464867787255975</v>
      </c>
      <c r="BB101" s="151" t="str">
        <f t="shared" si="16"/>
        <v>Long A</v>
      </c>
      <c r="BC101" s="133">
        <f>'Lab descriptors of grain qualit'!BM100</f>
        <v>33.63</v>
      </c>
      <c r="BD101" s="152">
        <f>'Lab descriptors of grain qualit'!BO100</f>
        <v>0.6729110912875408</v>
      </c>
      <c r="BE101" s="152">
        <f>'Lab descriptors of grain qualit'!BQ100</f>
        <v>0.6422836752899197</v>
      </c>
      <c r="BF101" s="130" t="s">
        <v>220</v>
      </c>
      <c r="BG101" s="386">
        <v>17.11</v>
      </c>
      <c r="BH101" s="153"/>
      <c r="BI101" s="154" t="str">
        <f aca="true" t="shared" si="17" ref="BI101:BI123">IF(BJ101&lt;3,"Low",IF(BJ101&lt;4,"Low or intermediate",IF(BJ101&lt;6,"Intermediate","High")))</f>
        <v>Intermediate</v>
      </c>
      <c r="BJ101" s="154">
        <f>'Lab descriptors of grain qu (2)'!E100</f>
        <v>5</v>
      </c>
      <c r="BK101" s="155">
        <f>'Lab descriptors of grain qu (2)'!F100</f>
        <v>0.96</v>
      </c>
      <c r="BL101" s="154">
        <f>'Lab descriptors of grain qu (2)'!G100</f>
        <v>9</v>
      </c>
      <c r="BM101" s="156">
        <f>'Lab descriptors of grain qu (2)'!H100</f>
        <v>9</v>
      </c>
      <c r="BN101" s="157">
        <f>'Lab descriptors of grain qu (2)'!I100</f>
        <v>9</v>
      </c>
      <c r="BO101" s="158">
        <f>'Lab descriptors of grain qu (2)'!K100</f>
        <v>0</v>
      </c>
      <c r="BP101" s="140"/>
      <c r="BQ101" s="478" t="s">
        <v>220</v>
      </c>
      <c r="BR101" s="480">
        <v>0.5</v>
      </c>
      <c r="BS101" s="483"/>
    </row>
    <row r="102" spans="1:71" ht="21">
      <c r="A102" s="194">
        <v>1687</v>
      </c>
      <c r="B102" s="130" t="s">
        <v>221</v>
      </c>
      <c r="C102" s="127"/>
      <c r="D102" s="93"/>
      <c r="E102" s="128">
        <f>'Agronomic traits'!F101</f>
        <v>101</v>
      </c>
      <c r="F102" s="128">
        <f>'Agronomic traits'!H101</f>
        <v>156</v>
      </c>
      <c r="G102" s="129">
        <f>'Agronomic traits'!I101</f>
        <v>74</v>
      </c>
      <c r="H102" s="129">
        <f>'Agronomic traits'!J101</f>
        <v>9</v>
      </c>
      <c r="I102" s="129">
        <f>'Agronomic traits'!K101</f>
        <v>1</v>
      </c>
      <c r="J102" s="130">
        <f>'Agronomic traits'!L101</f>
        <v>4</v>
      </c>
      <c r="K102" s="191" t="s">
        <v>221</v>
      </c>
      <c r="L102" s="132">
        <f>'Field plant descriptors'!C101</f>
        <v>2</v>
      </c>
      <c r="M102" s="128"/>
      <c r="N102" s="128">
        <f>'Field plant descriptors'!E101</f>
        <v>2</v>
      </c>
      <c r="O102" s="128">
        <f>'Field plant descriptors'!F101</f>
        <v>3</v>
      </c>
      <c r="P102" s="133">
        <f>AVERAGE('Field plant descriptors'!G101:L101)</f>
        <v>17.683333333333334</v>
      </c>
      <c r="Q102" s="134">
        <f>STDEV('Field plant descriptors'!G101:L101)</f>
        <v>1.1754431788336945</v>
      </c>
      <c r="R102" s="135">
        <f>'Field plant descriptors'!M101</f>
        <v>5</v>
      </c>
      <c r="S102" s="136" t="str">
        <f>'Diseases (blast)'!C112</f>
        <v>1-2</v>
      </c>
      <c r="T102" s="137">
        <f>'Diseases (blast)'!D112</f>
        <v>1</v>
      </c>
      <c r="U102" s="138"/>
      <c r="V102" s="138"/>
      <c r="W102" s="138"/>
      <c r="X102" s="139"/>
      <c r="Y102" s="130" t="s">
        <v>221</v>
      </c>
      <c r="Z102" s="140"/>
      <c r="AA102" s="141"/>
      <c r="AB102" s="142"/>
      <c r="AC102" s="143"/>
      <c r="AD102" s="144">
        <f>'Field grain descriptors'!C101</f>
        <v>1</v>
      </c>
      <c r="AE102" s="145" t="str">
        <f t="shared" si="11"/>
        <v>Absent</v>
      </c>
      <c r="AF102" s="144">
        <f>'Field grain descriptors'!D101</f>
        <v>5</v>
      </c>
      <c r="AG102" s="146">
        <f>AVERAGE('Field grain descriptors'!E101:H101)</f>
        <v>2.7074999999999996</v>
      </c>
      <c r="AH102" s="147">
        <f>STDEV('Field grain descriptors'!E101:H101)</f>
        <v>0.14728091073410676</v>
      </c>
      <c r="AI102" s="148" t="str">
        <f t="shared" si="12"/>
        <v>Long</v>
      </c>
      <c r="AJ102" s="136">
        <f>'Field grain descriptors'!I101</f>
        <v>1</v>
      </c>
      <c r="AK102" s="130" t="s">
        <v>221</v>
      </c>
      <c r="AL102" s="144">
        <f>'Lab descriptors of grain qualit'!C101</f>
        <v>3</v>
      </c>
      <c r="AM102" s="149" t="str">
        <f t="shared" si="13"/>
        <v>Gold</v>
      </c>
      <c r="AN102" s="146">
        <f>AVERAGE('Lab descriptors of grain qualit'!D101:M101)</f>
        <v>7.9590000000000005</v>
      </c>
      <c r="AO102" s="147">
        <f>STDEV('Lab descriptors of grain qualit'!D101:M101)</f>
        <v>0.23501536592788458</v>
      </c>
      <c r="AP102" s="146">
        <f>AVERAGE('Lab descriptors of grain qualit'!N101:W101)</f>
        <v>3.29</v>
      </c>
      <c r="AQ102" s="149">
        <f>STDEV('Lab descriptors of grain qualit'!N101:W101)</f>
        <v>0.06514940095232184</v>
      </c>
      <c r="AR102" s="382">
        <f t="shared" si="15"/>
        <v>2.4191489361702128</v>
      </c>
      <c r="AS102" s="147">
        <f>AVERAGE('Lab descriptors of grain qualit'!X101:AG101)</f>
        <v>2.4191698016135277</v>
      </c>
      <c r="AT102" s="381">
        <f>STDEV('Lab descriptors of grain qualit'!X101:AG101)</f>
        <v>0.05394607737271405</v>
      </c>
      <c r="AU102" s="130" t="s">
        <v>221</v>
      </c>
      <c r="AV102" s="146">
        <f>AVERAGE('Lab descriptors of grain qualit'!AI101:AR101)</f>
        <v>5.58</v>
      </c>
      <c r="AW102" s="147">
        <f>STDEV('Lab descriptors of grain qualit'!AI101:AR101)</f>
        <v>0.15755069730794227</v>
      </c>
      <c r="AX102" s="146">
        <f>AVERAGE('Lab descriptors of grain qualit'!AS101:BB101)</f>
        <v>2.912</v>
      </c>
      <c r="AY102" s="147">
        <f>STDEV('Lab descriptors of grain qualit'!AS101:BB101)</f>
        <v>0.0844327477279344</v>
      </c>
      <c r="AZ102" s="146">
        <f>AVERAGE('Lab descriptors of grain qualit'!BC101:BL101)</f>
        <v>1.9170852643285614</v>
      </c>
      <c r="BA102" s="147">
        <f>STDEV('Lab descriptors of grain qualit'!BC101:BL101)</f>
        <v>0.059993875692554786</v>
      </c>
      <c r="BB102" s="151" t="str">
        <f t="shared" si="16"/>
        <v>Medium</v>
      </c>
      <c r="BC102" s="133">
        <f>'Lab descriptors of grain qualit'!BM101</f>
        <v>27.61</v>
      </c>
      <c r="BD102" s="152">
        <f>'Lab descriptors of grain qualit'!BO101</f>
        <v>0.7066280333212605</v>
      </c>
      <c r="BE102" s="152">
        <f>'Lab descriptors of grain qualit'!BQ101</f>
        <v>0.6830858384643245</v>
      </c>
      <c r="BF102" s="130" t="s">
        <v>221</v>
      </c>
      <c r="BG102" s="386">
        <v>19.58</v>
      </c>
      <c r="BH102" s="153"/>
      <c r="BI102" s="154" t="str">
        <f t="shared" si="17"/>
        <v>High</v>
      </c>
      <c r="BJ102" s="154">
        <f>'Lab descriptors of grain qu (2)'!E101</f>
        <v>7</v>
      </c>
      <c r="BK102" s="155">
        <f>'Lab descriptors of grain qu (2)'!F101</f>
        <v>0.47</v>
      </c>
      <c r="BL102" s="154">
        <f>'Lab descriptors of grain qu (2)'!G101</f>
        <v>3</v>
      </c>
      <c r="BM102" s="156">
        <f>'Lab descriptors of grain qu (2)'!H101</f>
        <v>1</v>
      </c>
      <c r="BN102" s="157">
        <f>'Lab descriptors of grain qu (2)'!I101</f>
        <v>1</v>
      </c>
      <c r="BO102" s="158">
        <f>'Lab descriptors of grain qu (2)'!K101</f>
        <v>0</v>
      </c>
      <c r="BP102" s="140"/>
      <c r="BQ102" s="478" t="s">
        <v>221</v>
      </c>
      <c r="BR102" s="480">
        <v>1.5</v>
      </c>
      <c r="BS102" s="483"/>
    </row>
    <row r="103" spans="1:71" ht="21">
      <c r="A103" s="194">
        <v>1688</v>
      </c>
      <c r="B103" s="130" t="s">
        <v>222</v>
      </c>
      <c r="C103" s="127"/>
      <c r="D103" s="93"/>
      <c r="E103" s="128">
        <f>'Agronomic traits'!F102</f>
        <v>97</v>
      </c>
      <c r="F103" s="128">
        <f>'Agronomic traits'!H102</f>
        <v>156</v>
      </c>
      <c r="G103" s="129">
        <f>'Agronomic traits'!I102</f>
        <v>63</v>
      </c>
      <c r="H103" s="129">
        <f>'Agronomic traits'!J102</f>
        <v>9</v>
      </c>
      <c r="I103" s="129">
        <f>'Agronomic traits'!K102</f>
        <v>1</v>
      </c>
      <c r="J103" s="130">
        <f>'Agronomic traits'!L102</f>
        <v>3</v>
      </c>
      <c r="K103" s="191" t="s">
        <v>222</v>
      </c>
      <c r="L103" s="132">
        <f>'Field plant descriptors'!C102</f>
        <v>2</v>
      </c>
      <c r="M103" s="128"/>
      <c r="N103" s="128">
        <f>'Field plant descriptors'!E102</f>
        <v>2</v>
      </c>
      <c r="O103" s="128">
        <f>'Field plant descriptors'!F102</f>
        <v>3</v>
      </c>
      <c r="P103" s="133">
        <f>AVERAGE('Field plant descriptors'!G102:L102)</f>
        <v>16.166666666666668</v>
      </c>
      <c r="Q103" s="134">
        <f>STDEV('Field plant descriptors'!G102:L102)</f>
        <v>0.6860515043833428</v>
      </c>
      <c r="R103" s="135">
        <f>'Field plant descriptors'!M102</f>
        <v>1</v>
      </c>
      <c r="S103" s="136" t="str">
        <f>'Diseases (blast)'!C113</f>
        <v>N/A</v>
      </c>
      <c r="T103" s="137" t="str">
        <f>'Diseases (blast)'!D113</f>
        <v>N/A</v>
      </c>
      <c r="U103" s="138"/>
      <c r="V103" s="138"/>
      <c r="W103" s="138"/>
      <c r="X103" s="139"/>
      <c r="Y103" s="130" t="s">
        <v>222</v>
      </c>
      <c r="Z103" s="140"/>
      <c r="AA103" s="141"/>
      <c r="AB103" s="142"/>
      <c r="AC103" s="143"/>
      <c r="AD103" s="144">
        <f>'Field grain descriptors'!C102</f>
        <v>1</v>
      </c>
      <c r="AE103" s="145" t="str">
        <f t="shared" si="11"/>
        <v>Absent</v>
      </c>
      <c r="AF103" s="144">
        <f>'Field grain descriptors'!D102</f>
        <v>7</v>
      </c>
      <c r="AG103" s="146">
        <f>AVERAGE('Field grain descriptors'!E102:H102)</f>
        <v>2.785</v>
      </c>
      <c r="AH103" s="147">
        <f>STDEV('Field grain descriptors'!E102:H102)</f>
        <v>0.15416441439796325</v>
      </c>
      <c r="AI103" s="148" t="str">
        <f t="shared" si="12"/>
        <v>Long</v>
      </c>
      <c r="AJ103" s="136">
        <f>'Field grain descriptors'!I102</f>
        <v>1</v>
      </c>
      <c r="AK103" s="130" t="s">
        <v>222</v>
      </c>
      <c r="AL103" s="144">
        <f>'Lab descriptors of grain qualit'!C102</f>
        <v>3</v>
      </c>
      <c r="AM103" s="149" t="str">
        <f t="shared" si="13"/>
        <v>Gold</v>
      </c>
      <c r="AN103" s="146">
        <f>AVERAGE('Lab descriptors of grain qualit'!D102:M102)</f>
        <v>7.657999999999999</v>
      </c>
      <c r="AO103" s="147">
        <f>STDEV('Lab descriptors of grain qualit'!D102:M102)</f>
        <v>0.3994106769841315</v>
      </c>
      <c r="AP103" s="146">
        <f>AVERAGE('Lab descriptors of grain qualit'!N102:W102)</f>
        <v>3.222999999999999</v>
      </c>
      <c r="AQ103" s="149">
        <f>STDEV('Lab descriptors of grain qualit'!N102:W102)</f>
        <v>0.07303728119565304</v>
      </c>
      <c r="AR103" s="382">
        <f t="shared" si="15"/>
        <v>2.3760471610300966</v>
      </c>
      <c r="AS103" s="147">
        <f>AVERAGE('Lab descriptors of grain qualit'!X102:AG102)</f>
        <v>2.375856252725391</v>
      </c>
      <c r="AT103" s="381">
        <f>STDEV('Lab descriptors of grain qualit'!X102:AG102)</f>
        <v>0.10681789334791811</v>
      </c>
      <c r="AU103" s="130" t="s">
        <v>222</v>
      </c>
      <c r="AV103" s="146">
        <f>AVERAGE('Lab descriptors of grain qualit'!AI102:AR102)</f>
        <v>5.281000000000001</v>
      </c>
      <c r="AW103" s="147">
        <f>STDEV('Lab descriptors of grain qualit'!AI102:AR102)</f>
        <v>0.2246206678924248</v>
      </c>
      <c r="AX103" s="146">
        <f>AVERAGE('Lab descriptors of grain qualit'!AS102:BB102)</f>
        <v>2.875</v>
      </c>
      <c r="AY103" s="147">
        <f>STDEV('Lab descriptors of grain qualit'!AS102:BB102)</f>
        <v>0.060046278448836816</v>
      </c>
      <c r="AZ103" s="146">
        <f>AVERAGE('Lab descriptors of grain qualit'!BC102:BL102)</f>
        <v>1.8372394162115941</v>
      </c>
      <c r="BA103" s="147">
        <f>STDEV('Lab descriptors of grain qualit'!BC102:BL102)</f>
        <v>0.07801275787219875</v>
      </c>
      <c r="BB103" s="151" t="str">
        <f t="shared" si="16"/>
        <v>Medium</v>
      </c>
      <c r="BC103" s="133">
        <f>'Lab descriptors of grain qualit'!BM102</f>
        <v>24.43</v>
      </c>
      <c r="BD103" s="152">
        <f>'Lab descriptors of grain qualit'!BO102</f>
        <v>0.7163323782234957</v>
      </c>
      <c r="BE103" s="152">
        <f>'Lab descriptors of grain qualit'!BQ102</f>
        <v>0.6995497339336881</v>
      </c>
      <c r="BF103" s="130" t="s">
        <v>222</v>
      </c>
      <c r="BG103" s="386">
        <v>19.37</v>
      </c>
      <c r="BH103" s="153"/>
      <c r="BI103" s="154" t="str">
        <f t="shared" si="17"/>
        <v>High</v>
      </c>
      <c r="BJ103" s="154">
        <f>'Lab descriptors of grain qu (2)'!E102</f>
        <v>7</v>
      </c>
      <c r="BK103" s="155">
        <f>'Lab descriptors of grain qu (2)'!F102</f>
        <v>0.79</v>
      </c>
      <c r="BL103" s="154">
        <f>'Lab descriptors of grain qu (2)'!G102</f>
        <v>5</v>
      </c>
      <c r="BM103" s="156">
        <f>'Lab descriptors of grain qu (2)'!H102</f>
        <v>5</v>
      </c>
      <c r="BN103" s="157">
        <f>'Lab descriptors of grain qu (2)'!I102</f>
        <v>1</v>
      </c>
      <c r="BO103" s="158">
        <f>'Lab descriptors of grain qu (2)'!K102</f>
        <v>1</v>
      </c>
      <c r="BP103" s="140"/>
      <c r="BQ103" s="478" t="s">
        <v>222</v>
      </c>
      <c r="BR103" s="480">
        <v>4.5</v>
      </c>
      <c r="BS103" s="483"/>
    </row>
    <row r="104" spans="1:71" ht="21">
      <c r="A104" s="197">
        <v>1689</v>
      </c>
      <c r="B104" s="159" t="s">
        <v>223</v>
      </c>
      <c r="C104" s="160"/>
      <c r="D104" s="161"/>
      <c r="E104" s="162">
        <f>'Agronomic traits'!F103</f>
        <v>87</v>
      </c>
      <c r="F104" s="162">
        <f>'Agronomic traits'!H103</f>
        <v>121</v>
      </c>
      <c r="G104" s="163">
        <f>'Agronomic traits'!I103</f>
        <v>65</v>
      </c>
      <c r="H104" s="163">
        <f>'Agronomic traits'!J103</f>
        <v>9</v>
      </c>
      <c r="I104" s="163">
        <f>'Agronomic traits'!K103</f>
        <v>4</v>
      </c>
      <c r="J104" s="159">
        <f>'Agronomic traits'!L103</f>
        <v>4</v>
      </c>
      <c r="K104" s="164" t="s">
        <v>223</v>
      </c>
      <c r="L104" s="165">
        <f>'Field plant descriptors'!C103</f>
        <v>4</v>
      </c>
      <c r="M104" s="162"/>
      <c r="N104" s="162">
        <f>'Field plant descriptors'!E103</f>
        <v>6</v>
      </c>
      <c r="O104" s="162">
        <f>'Field plant descriptors'!F103</f>
        <v>2</v>
      </c>
      <c r="P104" s="166">
        <f>AVERAGE('Field plant descriptors'!G103:L103)</f>
        <v>12.966666666666667</v>
      </c>
      <c r="Q104" s="167">
        <f>STDEV('Field plant descriptors'!G103:L103)</f>
        <v>0.6250333324444987</v>
      </c>
      <c r="R104" s="168">
        <f>'Field plant descriptors'!M103</f>
        <v>5</v>
      </c>
      <c r="S104" s="169" t="str">
        <f>'Diseases (blast)'!C114</f>
        <v>N/A</v>
      </c>
      <c r="T104" s="170" t="str">
        <f>'Diseases (blast)'!D114</f>
        <v>N/A</v>
      </c>
      <c r="U104" s="171"/>
      <c r="V104" s="171"/>
      <c r="W104" s="171"/>
      <c r="X104" s="172"/>
      <c r="Y104" s="159" t="s">
        <v>223</v>
      </c>
      <c r="Z104" s="173"/>
      <c r="AA104" s="174"/>
      <c r="AB104" s="175"/>
      <c r="AC104" s="176"/>
      <c r="AD104" s="177">
        <f>'Field grain descriptors'!C103</f>
        <v>1</v>
      </c>
      <c r="AE104" s="178" t="str">
        <f t="shared" si="11"/>
        <v>Absent</v>
      </c>
      <c r="AF104" s="177">
        <f>'Field grain descriptors'!D103</f>
        <v>9</v>
      </c>
      <c r="AG104" s="179">
        <f>AVERAGE('Field grain descriptors'!E103:H103)</f>
        <v>2.1225</v>
      </c>
      <c r="AH104" s="180">
        <f>STDEV('Field grain descriptors'!E103:H103)</f>
        <v>0.15649813630413026</v>
      </c>
      <c r="AI104" s="181" t="str">
        <f t="shared" si="12"/>
        <v>Medium</v>
      </c>
      <c r="AJ104" s="169">
        <f>'Field grain descriptors'!I103</f>
        <v>1</v>
      </c>
      <c r="AK104" s="159" t="s">
        <v>223</v>
      </c>
      <c r="AL104" s="177">
        <f>'Lab descriptors of grain qualit'!C103</f>
        <v>3</v>
      </c>
      <c r="AM104" s="182" t="str">
        <f t="shared" si="13"/>
        <v>Gold</v>
      </c>
      <c r="AN104" s="179">
        <f>AVERAGE('Lab descriptors of grain qualit'!D103:M103)</f>
        <v>7.304</v>
      </c>
      <c r="AO104" s="180">
        <f>STDEV('Lab descriptors of grain qualit'!D103:M103)</f>
        <v>0.21894697480845102</v>
      </c>
      <c r="AP104" s="179">
        <f>AVERAGE('Lab descriptors of grain qualit'!N103:W103)</f>
        <v>3.7630000000000003</v>
      </c>
      <c r="AQ104" s="182">
        <f>STDEV('Lab descriptors of grain qualit'!N103:W103)</f>
        <v>0.11136027618100365</v>
      </c>
      <c r="AR104" s="383">
        <f t="shared" si="15"/>
        <v>1.94100451767207</v>
      </c>
      <c r="AS104" s="180">
        <f>AVERAGE('Lab descriptors of grain qualit'!X103:AG103)</f>
        <v>1.9421803025477355</v>
      </c>
      <c r="AT104" s="384">
        <f>STDEV('Lab descriptors of grain qualit'!X103:AG103)</f>
        <v>0.07213099169450998</v>
      </c>
      <c r="AU104" s="159" t="s">
        <v>223</v>
      </c>
      <c r="AV104" s="179">
        <f>AVERAGE('Lab descriptors of grain qualit'!AI103:AR103)</f>
        <v>5.037000000000001</v>
      </c>
      <c r="AW104" s="180">
        <f>STDEV('Lab descriptors of grain qualit'!AI103:AR103)</f>
        <v>0.07803845206046861</v>
      </c>
      <c r="AX104" s="179">
        <f>AVERAGE('Lab descriptors of grain qualit'!AS103:BB103)</f>
        <v>3.2465</v>
      </c>
      <c r="AY104" s="180">
        <f>STDEV('Lab descriptors of grain qualit'!AS103:BB103)</f>
        <v>0.08055536398443652</v>
      </c>
      <c r="AZ104" s="179">
        <f>AVERAGE('Lab descriptors of grain qualit'!BC103:BL103)</f>
        <v>1.5523771024736057</v>
      </c>
      <c r="BA104" s="180">
        <f>STDEV('Lab descriptors of grain qualit'!BC103:BL103)</f>
        <v>0.045695679324607476</v>
      </c>
      <c r="BB104" s="183" t="str">
        <f t="shared" si="16"/>
        <v>Round</v>
      </c>
      <c r="BC104" s="166">
        <f>'Lab descriptors of grain qualit'!BM103</f>
        <v>28.08</v>
      </c>
      <c r="BD104" s="184">
        <f>'Lab descriptors of grain qualit'!BO103</f>
        <v>0.6784188034188035</v>
      </c>
      <c r="BE104" s="184">
        <f>'Lab descriptors of grain qualit'!BQ103</f>
        <v>0.6410256410256411</v>
      </c>
      <c r="BF104" s="159" t="s">
        <v>223</v>
      </c>
      <c r="BG104" s="386">
        <v>18.43</v>
      </c>
      <c r="BH104" s="185"/>
      <c r="BI104" s="186" t="str">
        <f t="shared" si="17"/>
        <v>High</v>
      </c>
      <c r="BJ104" s="186">
        <f>'Lab descriptors of grain qu (2)'!E103</f>
        <v>6</v>
      </c>
      <c r="BK104" s="187">
        <f>'Lab descriptors of grain qu (2)'!F103</f>
        <v>1</v>
      </c>
      <c r="BL104" s="186">
        <f>'Lab descriptors of grain qu (2)'!G103</f>
        <v>9</v>
      </c>
      <c r="BM104" s="188">
        <f>'Lab descriptors of grain qu (2)'!H103</f>
        <v>9</v>
      </c>
      <c r="BN104" s="189">
        <f>'Lab descriptors of grain qu (2)'!I103</f>
        <v>9</v>
      </c>
      <c r="BO104" s="190">
        <f>'Lab descriptors of grain qu (2)'!K103</f>
        <v>0</v>
      </c>
      <c r="BP104" s="173"/>
      <c r="BQ104" s="477" t="s">
        <v>223</v>
      </c>
      <c r="BR104" s="480">
        <v>2</v>
      </c>
      <c r="BS104" s="483"/>
    </row>
    <row r="105" spans="1:71" ht="21">
      <c r="A105" s="197">
        <v>1690</v>
      </c>
      <c r="B105" s="159" t="s">
        <v>224</v>
      </c>
      <c r="C105" s="160"/>
      <c r="D105" s="161"/>
      <c r="E105" s="162">
        <f>'Agronomic traits'!F104</f>
        <v>85</v>
      </c>
      <c r="F105" s="162">
        <f>'Agronomic traits'!H104</f>
        <v>127</v>
      </c>
      <c r="G105" s="163">
        <f>'Agronomic traits'!I104</f>
        <v>57</v>
      </c>
      <c r="H105" s="163">
        <f>'Agronomic traits'!J104</f>
        <v>9</v>
      </c>
      <c r="I105" s="163">
        <f>'Agronomic traits'!K104</f>
        <v>1</v>
      </c>
      <c r="J105" s="159">
        <f>'Agronomic traits'!L104</f>
        <v>2</v>
      </c>
      <c r="K105" s="164" t="s">
        <v>224</v>
      </c>
      <c r="L105" s="165">
        <f>'Field plant descriptors'!C104</f>
        <v>2</v>
      </c>
      <c r="M105" s="162"/>
      <c r="N105" s="162">
        <f>'Field plant descriptors'!E104</f>
        <v>2</v>
      </c>
      <c r="O105" s="162">
        <f>'Field plant descriptors'!F104</f>
        <v>3</v>
      </c>
      <c r="P105" s="166">
        <f>AVERAGE('Field plant descriptors'!G104:L104)</f>
        <v>15.833333333333334</v>
      </c>
      <c r="Q105" s="167">
        <f>STDEV('Field plant descriptors'!G104:L104)</f>
        <v>0.7788880963698576</v>
      </c>
      <c r="R105" s="168">
        <f>'Field plant descriptors'!M104</f>
        <v>3</v>
      </c>
      <c r="S105" s="169" t="str">
        <f>'Diseases (blast)'!C115</f>
        <v>N/A</v>
      </c>
      <c r="T105" s="170" t="str">
        <f>'Diseases (blast)'!D115</f>
        <v>N/A</v>
      </c>
      <c r="U105" s="171"/>
      <c r="V105" s="171"/>
      <c r="W105" s="171"/>
      <c r="X105" s="172"/>
      <c r="Y105" s="159" t="s">
        <v>224</v>
      </c>
      <c r="Z105" s="173"/>
      <c r="AA105" s="174"/>
      <c r="AB105" s="175"/>
      <c r="AC105" s="176"/>
      <c r="AD105" s="177">
        <f>'Field grain descriptors'!C104</f>
        <v>1</v>
      </c>
      <c r="AE105" s="178" t="str">
        <f t="shared" si="11"/>
        <v>Absent</v>
      </c>
      <c r="AF105" s="177">
        <f>'Field grain descriptors'!D104</f>
        <v>5</v>
      </c>
      <c r="AG105" s="179">
        <f>AVERAGE('Field grain descriptors'!E104:H104)</f>
        <v>2.6825</v>
      </c>
      <c r="AH105" s="180">
        <f>STDEV('Field grain descriptors'!E104:H104)</f>
        <v>0.1415097169808463</v>
      </c>
      <c r="AI105" s="181" t="str">
        <f t="shared" si="12"/>
        <v>Long</v>
      </c>
      <c r="AJ105" s="169">
        <f>'Field grain descriptors'!I104</f>
        <v>1</v>
      </c>
      <c r="AK105" s="159" t="s">
        <v>224</v>
      </c>
      <c r="AL105" s="177">
        <f>'Lab descriptors of grain qualit'!C104</f>
        <v>1</v>
      </c>
      <c r="AM105" s="182" t="str">
        <f t="shared" si="13"/>
        <v>Straw</v>
      </c>
      <c r="AN105" s="179">
        <f>AVERAGE('Lab descriptors of grain qualit'!D104:M104)</f>
        <v>8.868</v>
      </c>
      <c r="AO105" s="180">
        <f>STDEV('Lab descriptors of grain qualit'!D104:M104)</f>
        <v>0.3050610139336111</v>
      </c>
      <c r="AP105" s="179">
        <f>AVERAGE('Lab descriptors of grain qualit'!N104:W104)</f>
        <v>3.181</v>
      </c>
      <c r="AQ105" s="182">
        <f>STDEV('Lab descriptors of grain qualit'!N104:W104)</f>
        <v>0.16251153805190852</v>
      </c>
      <c r="AR105" s="383">
        <f t="shared" si="15"/>
        <v>2.7878025778057216</v>
      </c>
      <c r="AS105" s="180">
        <f>AVERAGE('Lab descriptors of grain qualit'!X104:AG104)</f>
        <v>2.792996267277768</v>
      </c>
      <c r="AT105" s="384">
        <f>STDEV('Lab descriptors of grain qualit'!X104:AG104)</f>
        <v>0.14607789025457488</v>
      </c>
      <c r="AU105" s="159" t="s">
        <v>224</v>
      </c>
      <c r="AV105" s="179">
        <f>AVERAGE('Lab descriptors of grain qualit'!AI104:AR104)</f>
        <v>6.452000000000001</v>
      </c>
      <c r="AW105" s="180">
        <f>STDEV('Lab descriptors of grain qualit'!AI104:AR104)</f>
        <v>0.1262097020394215</v>
      </c>
      <c r="AX105" s="179">
        <f>AVERAGE('Lab descriptors of grain qualit'!AS104:BB104)</f>
        <v>2.769</v>
      </c>
      <c r="AY105" s="180">
        <f>STDEV('Lab descriptors of grain qualit'!AS104:BB104)</f>
        <v>0.06822348894949833</v>
      </c>
      <c r="AZ105" s="179">
        <f>AVERAGE('Lab descriptors of grain qualit'!BC104:BL104)</f>
        <v>2.3314787529749887</v>
      </c>
      <c r="BA105" s="180">
        <f>STDEV('Lab descriptors of grain qualit'!BC104:BL104)</f>
        <v>0.07714904697430171</v>
      </c>
      <c r="BB105" s="183" t="str">
        <f t="shared" si="16"/>
        <v>Long A</v>
      </c>
      <c r="BC105" s="166">
        <f>'Lab descriptors of grain qualit'!BM104</f>
        <v>29.92</v>
      </c>
      <c r="BD105" s="184">
        <f>'Lab descriptors of grain qualit'!BO104</f>
        <v>0.7015374331550801</v>
      </c>
      <c r="BE105" s="184">
        <f>'Lab descriptors of grain qualit'!BQ104</f>
        <v>0.6403743315508021</v>
      </c>
      <c r="BF105" s="159" t="s">
        <v>224</v>
      </c>
      <c r="BG105" s="386">
        <v>17.09</v>
      </c>
      <c r="BH105" s="185"/>
      <c r="BI105" s="186" t="str">
        <f t="shared" si="17"/>
        <v>High</v>
      </c>
      <c r="BJ105" s="186">
        <f>'Lab descriptors of grain qu (2)'!E104</f>
        <v>6</v>
      </c>
      <c r="BK105" s="187">
        <f>'Lab descriptors of grain qu (2)'!F104</f>
        <v>0.81</v>
      </c>
      <c r="BL105" s="186">
        <f>'Lab descriptors of grain qu (2)'!G104</f>
        <v>5</v>
      </c>
      <c r="BM105" s="188">
        <f>'Lab descriptors of grain qu (2)'!H104</f>
        <v>5</v>
      </c>
      <c r="BN105" s="189">
        <f>'Lab descriptors of grain qu (2)'!I104</f>
        <v>5</v>
      </c>
      <c r="BO105" s="190">
        <f>'Lab descriptors of grain qu (2)'!K104</f>
        <v>1</v>
      </c>
      <c r="BP105" s="173"/>
      <c r="BQ105" s="477" t="s">
        <v>224</v>
      </c>
      <c r="BR105" s="480">
        <v>3</v>
      </c>
      <c r="BS105" s="483"/>
    </row>
    <row r="106" spans="1:71" ht="21">
      <c r="A106" s="198">
        <v>1691</v>
      </c>
      <c r="B106" s="159" t="s">
        <v>225</v>
      </c>
      <c r="C106" s="160"/>
      <c r="D106" s="161"/>
      <c r="E106" s="162">
        <f>'Agronomic traits'!F105</f>
        <v>85</v>
      </c>
      <c r="F106" s="162">
        <f>'Agronomic traits'!H105</f>
        <v>133</v>
      </c>
      <c r="G106" s="163">
        <f>'Agronomic traits'!I105</f>
        <v>60</v>
      </c>
      <c r="H106" s="163">
        <f>'Agronomic traits'!J105</f>
        <v>9</v>
      </c>
      <c r="I106" s="163">
        <f>'Agronomic traits'!K105</f>
        <v>4</v>
      </c>
      <c r="J106" s="159">
        <f>'Agronomic traits'!L105</f>
        <v>2</v>
      </c>
      <c r="K106" s="164" t="s">
        <v>225</v>
      </c>
      <c r="L106" s="165">
        <f>'Field plant descriptors'!C105</f>
        <v>2</v>
      </c>
      <c r="M106" s="162"/>
      <c r="N106" s="162">
        <f>'Field plant descriptors'!E105</f>
        <v>2</v>
      </c>
      <c r="O106" s="162">
        <f>'Field plant descriptors'!F105</f>
        <v>3</v>
      </c>
      <c r="P106" s="166">
        <f>AVERAGE('Field plant descriptors'!G105:L105)</f>
        <v>16.466666666666665</v>
      </c>
      <c r="Q106" s="167">
        <f>STDEV('Field plant descriptors'!G105:L105)</f>
        <v>1.0013324456276795</v>
      </c>
      <c r="R106" s="168">
        <f>'Field plant descriptors'!M105</f>
        <v>3</v>
      </c>
      <c r="S106" s="169" t="str">
        <f>'Diseases (blast)'!C116</f>
        <v>N/A</v>
      </c>
      <c r="T106" s="170" t="str">
        <f>'Diseases (blast)'!D116</f>
        <v>N/A</v>
      </c>
      <c r="U106" s="171"/>
      <c r="V106" s="171"/>
      <c r="W106" s="171"/>
      <c r="X106" s="172"/>
      <c r="Y106" s="159" t="s">
        <v>225</v>
      </c>
      <c r="Z106" s="173"/>
      <c r="AA106" s="174"/>
      <c r="AB106" s="175"/>
      <c r="AC106" s="176"/>
      <c r="AD106" s="177">
        <f>'Field grain descriptors'!C105</f>
        <v>1</v>
      </c>
      <c r="AE106" s="178" t="str">
        <f t="shared" si="11"/>
        <v>Absent</v>
      </c>
      <c r="AF106" s="177">
        <f>'Field grain descriptors'!D105</f>
        <v>5</v>
      </c>
      <c r="AG106" s="179">
        <f>AVERAGE('Field grain descriptors'!E105:H105)</f>
        <v>2.69</v>
      </c>
      <c r="AH106" s="180">
        <f>STDEV('Field grain descriptors'!E105:H105)</f>
        <v>0.16472198800808</v>
      </c>
      <c r="AI106" s="181" t="str">
        <f t="shared" si="12"/>
        <v>Long</v>
      </c>
      <c r="AJ106" s="169">
        <f>'Field grain descriptors'!I105</f>
        <v>1</v>
      </c>
      <c r="AK106" s="159" t="s">
        <v>225</v>
      </c>
      <c r="AL106" s="177">
        <f>'Lab descriptors of grain qualit'!C105</f>
        <v>3</v>
      </c>
      <c r="AM106" s="182" t="str">
        <f t="shared" si="13"/>
        <v>Gold</v>
      </c>
      <c r="AN106" s="179">
        <f>AVERAGE('Lab descriptors of grain qualit'!D105:M105)</f>
        <v>8.983</v>
      </c>
      <c r="AO106" s="180">
        <f>STDEV('Lab descriptors of grain qualit'!D105:M105)</f>
        <v>0.4193659234818409</v>
      </c>
      <c r="AP106" s="179">
        <f>AVERAGE('Lab descriptors of grain qualit'!N105:W105)</f>
        <v>2.8300000000000005</v>
      </c>
      <c r="AQ106" s="182">
        <f>STDEV('Lab descriptors of grain qualit'!N105:W105)</f>
        <v>0.09237604307032649</v>
      </c>
      <c r="AR106" s="383">
        <f t="shared" si="15"/>
        <v>3.174204946996466</v>
      </c>
      <c r="AS106" s="180">
        <f>AVERAGE('Lab descriptors of grain qualit'!X105:AG105)</f>
        <v>3.1756459362702127</v>
      </c>
      <c r="AT106" s="384">
        <f>STDEV('Lab descriptors of grain qualit'!X105:AG105)</f>
        <v>0.14640908112182388</v>
      </c>
      <c r="AU106" s="159" t="s">
        <v>225</v>
      </c>
      <c r="AV106" s="179">
        <f>AVERAGE('Lab descriptors of grain qualit'!AI105:AR105)</f>
        <v>6.473000000000001</v>
      </c>
      <c r="AW106" s="180">
        <f>STDEV('Lab descriptors of grain qualit'!AI105:AR105)</f>
        <v>0.32304282481841423</v>
      </c>
      <c r="AX106" s="179">
        <f>AVERAGE('Lab descriptors of grain qualit'!AS105:BB105)</f>
        <v>2.3980000000000006</v>
      </c>
      <c r="AY106" s="180">
        <f>STDEV('Lab descriptors of grain qualit'!AS105:BB105)</f>
        <v>0.09693067396625675</v>
      </c>
      <c r="AZ106" s="179">
        <f>AVERAGE('Lab descriptors of grain qualit'!BC105:BL105)</f>
        <v>2.6998758482018532</v>
      </c>
      <c r="BA106" s="180">
        <f>STDEV('Lab descriptors of grain qualit'!BC105:BL105)</f>
        <v>0.0974996261786021</v>
      </c>
      <c r="BB106" s="183" t="str">
        <f t="shared" si="16"/>
        <v>Long A</v>
      </c>
      <c r="BC106" s="166">
        <f>'Lab descriptors of grain qualit'!BM105</f>
        <v>26.66</v>
      </c>
      <c r="BD106" s="184">
        <f>'Lab descriptors of grain qualit'!BO105</f>
        <v>0.7081770442610652</v>
      </c>
      <c r="BE106" s="184">
        <f>'Lab descriptors of grain qualit'!BQ105</f>
        <v>0.6687921980495123</v>
      </c>
      <c r="BF106" s="159" t="s">
        <v>225</v>
      </c>
      <c r="BG106" s="386">
        <v>16.87</v>
      </c>
      <c r="BH106" s="185"/>
      <c r="BI106" s="186" t="str">
        <f t="shared" si="17"/>
        <v>High</v>
      </c>
      <c r="BJ106" s="186">
        <f>'Lab descriptors of grain qu (2)'!E105</f>
        <v>6</v>
      </c>
      <c r="BK106" s="187">
        <f>'Lab descriptors of grain qu (2)'!F105</f>
        <v>0.13</v>
      </c>
      <c r="BL106" s="186">
        <f>'Lab descriptors of grain qu (2)'!G105</f>
        <v>7</v>
      </c>
      <c r="BM106" s="188">
        <f>'Lab descriptors of grain qu (2)'!H105</f>
        <v>9</v>
      </c>
      <c r="BN106" s="189">
        <f>'Lab descriptors of grain qu (2)'!I105</f>
        <v>9</v>
      </c>
      <c r="BO106" s="190">
        <f>'Lab descriptors of grain qu (2)'!K105</f>
        <v>0</v>
      </c>
      <c r="BP106" s="173"/>
      <c r="BQ106" s="477" t="s">
        <v>225</v>
      </c>
      <c r="BR106" s="480">
        <v>1</v>
      </c>
      <c r="BS106" s="483"/>
    </row>
    <row r="107" spans="1:71" ht="21">
      <c r="A107" s="198">
        <v>1692</v>
      </c>
      <c r="B107" s="159" t="s">
        <v>226</v>
      </c>
      <c r="C107" s="160"/>
      <c r="D107" s="161"/>
      <c r="E107" s="162">
        <f>'Agronomic traits'!F106</f>
        <v>87</v>
      </c>
      <c r="F107" s="162">
        <f>'Agronomic traits'!H106</f>
        <v>133</v>
      </c>
      <c r="G107" s="163">
        <f>'Agronomic traits'!I106</f>
        <v>60</v>
      </c>
      <c r="H107" s="163">
        <f>'Agronomic traits'!J106</f>
        <v>9</v>
      </c>
      <c r="I107" s="163">
        <f>'Agronomic traits'!K106</f>
        <v>4</v>
      </c>
      <c r="J107" s="159">
        <f>'Agronomic traits'!L106</f>
        <v>6</v>
      </c>
      <c r="K107" s="164" t="s">
        <v>226</v>
      </c>
      <c r="L107" s="165">
        <f>'Field plant descriptors'!C106</f>
        <v>2</v>
      </c>
      <c r="M107" s="162"/>
      <c r="N107" s="162">
        <f>'Field plant descriptors'!E106</f>
        <v>2</v>
      </c>
      <c r="O107" s="162">
        <f>'Field plant descriptors'!F106</f>
        <v>3</v>
      </c>
      <c r="P107" s="166">
        <f>AVERAGE('Field plant descriptors'!G106:L106)</f>
        <v>18.733333333333334</v>
      </c>
      <c r="Q107" s="167">
        <f>STDEV('Field plant descriptors'!G106:L106)</f>
        <v>1.309452811928159</v>
      </c>
      <c r="R107" s="168">
        <f>'Field plant descriptors'!M106</f>
        <v>5</v>
      </c>
      <c r="S107" s="169" t="str">
        <f>'Diseases (blast)'!C117</f>
        <v>N/A</v>
      </c>
      <c r="T107" s="170" t="str">
        <f>'Diseases (blast)'!D117</f>
        <v>N/A</v>
      </c>
      <c r="U107" s="171"/>
      <c r="V107" s="171"/>
      <c r="W107" s="171"/>
      <c r="X107" s="172"/>
      <c r="Y107" s="159" t="s">
        <v>226</v>
      </c>
      <c r="Z107" s="173"/>
      <c r="AA107" s="174"/>
      <c r="AB107" s="175"/>
      <c r="AC107" s="176"/>
      <c r="AD107" s="177">
        <f>'Field grain descriptors'!C106</f>
        <v>1</v>
      </c>
      <c r="AE107" s="178" t="str">
        <f t="shared" si="11"/>
        <v>Absent</v>
      </c>
      <c r="AF107" s="177">
        <f>'Field grain descriptors'!D106</f>
        <v>1</v>
      </c>
      <c r="AG107" s="179">
        <f>AVERAGE('Field grain descriptors'!E106:H106)</f>
        <v>2.945</v>
      </c>
      <c r="AH107" s="180">
        <f>STDEV('Field grain descriptors'!E106:H106)</f>
        <v>0.23245071162148356</v>
      </c>
      <c r="AI107" s="181" t="str">
        <f t="shared" si="12"/>
        <v>Long</v>
      </c>
      <c r="AJ107" s="169">
        <f>'Field grain descriptors'!I106</f>
        <v>1</v>
      </c>
      <c r="AK107" s="159" t="s">
        <v>226</v>
      </c>
      <c r="AL107" s="177">
        <f>'Lab descriptors of grain qualit'!C106</f>
        <v>3</v>
      </c>
      <c r="AM107" s="182" t="str">
        <f t="shared" si="13"/>
        <v>Gold</v>
      </c>
      <c r="AN107" s="179">
        <f>AVERAGE('Lab descriptors of grain qualit'!D106:M106)</f>
        <v>9.656</v>
      </c>
      <c r="AO107" s="180">
        <f>STDEV('Lab descriptors of grain qualit'!D106:M106)</f>
        <v>0.2749626237226466</v>
      </c>
      <c r="AP107" s="179">
        <f>AVERAGE('Lab descriptors of grain qualit'!N106:W106)</f>
        <v>2.881</v>
      </c>
      <c r="AQ107" s="182">
        <f>STDEV('Lab descriptors of grain qualit'!N106:W106)</f>
        <v>0.06773313648265654</v>
      </c>
      <c r="AR107" s="383">
        <f t="shared" si="15"/>
        <v>3.351614022908713</v>
      </c>
      <c r="AS107" s="180">
        <f>AVERAGE('Lab descriptors of grain qualit'!X106:AG106)</f>
        <v>3.3523626187960938</v>
      </c>
      <c r="AT107" s="384">
        <f>STDEV('Lab descriptors of grain qualit'!X106:AG106)</f>
        <v>0.09163944693117565</v>
      </c>
      <c r="AU107" s="159" t="s">
        <v>226</v>
      </c>
      <c r="AV107" s="179">
        <f>AVERAGE('Lab descriptors of grain qualit'!AI106:AR106)</f>
        <v>6.908000000000001</v>
      </c>
      <c r="AW107" s="180">
        <f>STDEV('Lab descriptors of grain qualit'!AI106:AR106)</f>
        <v>0.3323251419919506</v>
      </c>
      <c r="AX107" s="179">
        <f>AVERAGE('Lab descriptors of grain qualit'!AS106:BB106)</f>
        <v>2.538</v>
      </c>
      <c r="AY107" s="180">
        <f>STDEV('Lab descriptors of grain qualit'!AS106:BB106)</f>
        <v>0.13096225071031864</v>
      </c>
      <c r="AZ107" s="179">
        <f>AVERAGE('Lab descriptors of grain qualit'!BC106:BL106)</f>
        <v>2.72733276211672</v>
      </c>
      <c r="BA107" s="180">
        <f>STDEV('Lab descriptors of grain qualit'!BC106:BL106)</f>
        <v>0.17079730013276656</v>
      </c>
      <c r="BB107" s="183" t="str">
        <f t="shared" si="16"/>
        <v>Long A</v>
      </c>
      <c r="BC107" s="166">
        <f>'Lab descriptors of grain qualit'!BM106</f>
        <v>30.87</v>
      </c>
      <c r="BD107" s="184">
        <f>'Lab descriptors of grain qualit'!BO106</f>
        <v>0.6631033365727242</v>
      </c>
      <c r="BE107" s="184">
        <f>'Lab descriptors of grain qualit'!BQ106</f>
        <v>0.6323291221250404</v>
      </c>
      <c r="BF107" s="159" t="s">
        <v>226</v>
      </c>
      <c r="BG107" s="386">
        <v>19.39</v>
      </c>
      <c r="BH107" s="185"/>
      <c r="BI107" s="186" t="str">
        <f t="shared" si="17"/>
        <v>Low</v>
      </c>
      <c r="BJ107" s="186">
        <f>'Lab descriptors of grain qu (2)'!E106</f>
        <v>1</v>
      </c>
      <c r="BK107" s="187">
        <f>'Lab descriptors of grain qu (2)'!F106</f>
        <v>0.78</v>
      </c>
      <c r="BL107" s="186">
        <f>'Lab descriptors of grain qu (2)'!G106</f>
        <v>5</v>
      </c>
      <c r="BM107" s="188">
        <f>'Lab descriptors of grain qu (2)'!H106</f>
        <v>5</v>
      </c>
      <c r="BN107" s="189">
        <f>'Lab descriptors of grain qu (2)'!I106</f>
        <v>0</v>
      </c>
      <c r="BO107" s="190">
        <f>'Lab descriptors of grain qu (2)'!K106</f>
        <v>0</v>
      </c>
      <c r="BP107" s="173"/>
      <c r="BQ107" s="477" t="s">
        <v>226</v>
      </c>
      <c r="BR107" s="480">
        <v>1.5</v>
      </c>
      <c r="BS107" s="483"/>
    </row>
    <row r="108" spans="1:71" ht="21">
      <c r="A108" s="198">
        <v>1693</v>
      </c>
      <c r="B108" s="159" t="s">
        <v>227</v>
      </c>
      <c r="C108" s="160"/>
      <c r="D108" s="161"/>
      <c r="E108" s="162">
        <f>'Agronomic traits'!F107</f>
        <v>85</v>
      </c>
      <c r="F108" s="162">
        <f>'Agronomic traits'!H107</f>
        <v>141</v>
      </c>
      <c r="G108" s="163">
        <f>'Agronomic traits'!I107</f>
        <v>56</v>
      </c>
      <c r="H108" s="163">
        <f>'Agronomic traits'!J107</f>
        <v>9</v>
      </c>
      <c r="I108" s="163">
        <f>'Agronomic traits'!K107</f>
        <v>4</v>
      </c>
      <c r="J108" s="159">
        <f>'Agronomic traits'!L107</f>
        <v>3</v>
      </c>
      <c r="K108" s="164" t="s">
        <v>227</v>
      </c>
      <c r="L108" s="165">
        <f>'Field plant descriptors'!C107</f>
        <v>2</v>
      </c>
      <c r="M108" s="162"/>
      <c r="N108" s="162">
        <f>'Field plant descriptors'!E107</f>
        <v>4</v>
      </c>
      <c r="O108" s="162">
        <f>'Field plant descriptors'!F107</f>
        <v>2</v>
      </c>
      <c r="P108" s="166">
        <f>AVERAGE('Field plant descriptors'!G107:L107)</f>
        <v>16.616666666666667</v>
      </c>
      <c r="Q108" s="167">
        <f>STDEV('Field plant descriptors'!G107:L107)</f>
        <v>0.7250287350627326</v>
      </c>
      <c r="R108" s="168">
        <f>'Field plant descriptors'!M107</f>
        <v>5</v>
      </c>
      <c r="S108" s="169" t="str">
        <f>'Diseases (blast)'!C118</f>
        <v>N/A</v>
      </c>
      <c r="T108" s="170" t="str">
        <f>'Diseases (blast)'!D118</f>
        <v>N/A</v>
      </c>
      <c r="U108" s="171"/>
      <c r="V108" s="171"/>
      <c r="W108" s="171"/>
      <c r="X108" s="172"/>
      <c r="Y108" s="159" t="s">
        <v>227</v>
      </c>
      <c r="Z108" s="173"/>
      <c r="AA108" s="174"/>
      <c r="AB108" s="175"/>
      <c r="AC108" s="176"/>
      <c r="AD108" s="177">
        <f>'Field grain descriptors'!C107</f>
        <v>1</v>
      </c>
      <c r="AE108" s="178" t="str">
        <f t="shared" si="11"/>
        <v>Absent</v>
      </c>
      <c r="AF108" s="177">
        <f>'Field grain descriptors'!D107</f>
        <v>9</v>
      </c>
      <c r="AG108" s="179">
        <f>AVERAGE('Field grain descriptors'!E107:H107)</f>
        <v>3.59</v>
      </c>
      <c r="AH108" s="180">
        <f>STDEV('Field grain descriptors'!E107:H107)</f>
        <v>0.4164132562731385</v>
      </c>
      <c r="AI108" s="181" t="str">
        <f t="shared" si="12"/>
        <v>Long</v>
      </c>
      <c r="AJ108" s="169">
        <f>'Field grain descriptors'!I107</f>
        <v>1</v>
      </c>
      <c r="AK108" s="159" t="s">
        <v>227</v>
      </c>
      <c r="AL108" s="177">
        <f>'Lab descriptors of grain qualit'!C107</f>
        <v>3</v>
      </c>
      <c r="AM108" s="182" t="str">
        <f t="shared" si="13"/>
        <v>Gold</v>
      </c>
      <c r="AN108" s="179">
        <f>AVERAGE('Lab descriptors of grain qualit'!D107:M107)</f>
        <v>9.873</v>
      </c>
      <c r="AO108" s="180">
        <f>STDEV('Lab descriptors of grain qualit'!D107:M107)</f>
        <v>0.3823044162270384</v>
      </c>
      <c r="AP108" s="179">
        <f>AVERAGE('Lab descriptors of grain qualit'!N107:W107)</f>
        <v>3.6719999999999997</v>
      </c>
      <c r="AQ108" s="182">
        <f>STDEV('Lab descriptors of grain qualit'!N107:W107)</f>
        <v>0.15633297796690762</v>
      </c>
      <c r="AR108" s="383">
        <f aca="true" t="shared" si="18" ref="AR108:AR123">AN108/AP108</f>
        <v>2.6887254901960786</v>
      </c>
      <c r="AS108" s="180">
        <f>AVERAGE('Lab descriptors of grain qualit'!X107:AG107)</f>
        <v>2.6909772569626815</v>
      </c>
      <c r="AT108" s="384">
        <f>STDEV('Lab descriptors of grain qualit'!X107:AG107)</f>
        <v>0.10609599160771337</v>
      </c>
      <c r="AU108" s="159" t="s">
        <v>227</v>
      </c>
      <c r="AV108" s="179">
        <f>AVERAGE('Lab descriptors of grain qualit'!AI107:AR107)</f>
        <v>7.276000000000001</v>
      </c>
      <c r="AW108" s="180">
        <f>STDEV('Lab descriptors of grain qualit'!AI107:AR107)</f>
        <v>0.21412353651313074</v>
      </c>
      <c r="AX108" s="179">
        <f>AVERAGE('Lab descriptors of grain qualit'!AS107:BB107)</f>
        <v>3.2310000000000003</v>
      </c>
      <c r="AY108" s="180">
        <f>STDEV('Lab descriptors of grain qualit'!AS107:BB107)</f>
        <v>0.06806043066436886</v>
      </c>
      <c r="AZ108" s="179">
        <f>AVERAGE('Lab descriptors of grain qualit'!BC107:BL107)</f>
        <v>2.252652475749932</v>
      </c>
      <c r="BA108" s="180">
        <f>STDEV('Lab descriptors of grain qualit'!BC107:BL107)</f>
        <v>0.07589418175696747</v>
      </c>
      <c r="BB108" s="183" t="str">
        <f t="shared" si="16"/>
        <v>Long A</v>
      </c>
      <c r="BC108" s="166">
        <f>'Lab descriptors of grain qualit'!BM107</f>
        <v>41.49</v>
      </c>
      <c r="BD108" s="184">
        <f>'Lab descriptors of grain qualit'!BO107</f>
        <v>0.67823571945047</v>
      </c>
      <c r="BE108" s="184">
        <f>'Lab descriptors of grain qualit'!BQ107</f>
        <v>0.3682815136177392</v>
      </c>
      <c r="BF108" s="159" t="s">
        <v>227</v>
      </c>
      <c r="BG108" s="386">
        <v>19</v>
      </c>
      <c r="BH108" s="185"/>
      <c r="BI108" s="186" t="str">
        <f t="shared" si="17"/>
        <v>High</v>
      </c>
      <c r="BJ108" s="186">
        <f>'Lab descriptors of grain qu (2)'!E107</f>
        <v>6</v>
      </c>
      <c r="BK108" s="187">
        <f>'Lab descriptors of grain qu (2)'!F107</f>
        <v>0.96</v>
      </c>
      <c r="BL108" s="186">
        <f>'Lab descriptors of grain qu (2)'!G107</f>
        <v>9</v>
      </c>
      <c r="BM108" s="188">
        <f>'Lab descriptors of grain qu (2)'!H107</f>
        <v>9</v>
      </c>
      <c r="BN108" s="189">
        <f>'Lab descriptors of grain qu (2)'!I107</f>
        <v>9</v>
      </c>
      <c r="BO108" s="190">
        <f>'Lab descriptors of grain qu (2)'!K107</f>
        <v>0</v>
      </c>
      <c r="BP108" s="173"/>
      <c r="BQ108" s="477" t="s">
        <v>227</v>
      </c>
      <c r="BR108" s="480">
        <v>0.5</v>
      </c>
      <c r="BS108" s="483"/>
    </row>
    <row r="109" spans="1:71" ht="21">
      <c r="A109" s="198">
        <v>1694</v>
      </c>
      <c r="B109" s="159" t="s">
        <v>228</v>
      </c>
      <c r="C109" s="160"/>
      <c r="D109" s="161"/>
      <c r="E109" s="162">
        <f>'Agronomic traits'!F108</f>
        <v>89</v>
      </c>
      <c r="F109" s="162">
        <f>'Agronomic traits'!H108</f>
        <v>141</v>
      </c>
      <c r="G109" s="163">
        <f>'Agronomic traits'!I108</f>
        <v>70</v>
      </c>
      <c r="H109" s="163">
        <f>'Agronomic traits'!J108</f>
        <v>9</v>
      </c>
      <c r="I109" s="163">
        <f>'Agronomic traits'!K108</f>
        <v>4</v>
      </c>
      <c r="J109" s="159">
        <f>'Agronomic traits'!L108</f>
        <v>6</v>
      </c>
      <c r="K109" s="164" t="s">
        <v>228</v>
      </c>
      <c r="L109" s="165">
        <f>'Field plant descriptors'!C108</f>
        <v>2</v>
      </c>
      <c r="M109" s="162"/>
      <c r="N109" s="162">
        <f>'Field plant descriptors'!E108</f>
        <v>2</v>
      </c>
      <c r="O109" s="162">
        <f>'Field plant descriptors'!F108</f>
        <v>2</v>
      </c>
      <c r="P109" s="166">
        <f>AVERAGE('Field plant descriptors'!G108:L108)</f>
        <v>18.2</v>
      </c>
      <c r="Q109" s="167">
        <f>STDEV('Field plant descriptors'!G108:L108)</f>
        <v>1.0583005244258061</v>
      </c>
      <c r="R109" s="168">
        <f>'Field plant descriptors'!M108</f>
        <v>5</v>
      </c>
      <c r="S109" s="169" t="str">
        <f>'Diseases (blast)'!C119</f>
        <v>N/A</v>
      </c>
      <c r="T109" s="170" t="str">
        <f>'Diseases (blast)'!D119</f>
        <v>N/A</v>
      </c>
      <c r="U109" s="171"/>
      <c r="V109" s="171"/>
      <c r="W109" s="171"/>
      <c r="X109" s="172"/>
      <c r="Y109" s="159" t="s">
        <v>228</v>
      </c>
      <c r="Z109" s="173"/>
      <c r="AA109" s="174"/>
      <c r="AB109" s="175"/>
      <c r="AC109" s="176"/>
      <c r="AD109" s="177">
        <f>'Field grain descriptors'!C108</f>
        <v>9</v>
      </c>
      <c r="AE109" s="178" t="str">
        <f t="shared" si="11"/>
        <v>Present</v>
      </c>
      <c r="AF109" s="177">
        <f>'Field grain descriptors'!D108</f>
        <v>7</v>
      </c>
      <c r="AG109" s="179">
        <f>AVERAGE('Field grain descriptors'!E108:H108)</f>
        <v>2.7824999999999998</v>
      </c>
      <c r="AH109" s="180">
        <f>STDEV('Field grain descriptors'!E108:H108)</f>
        <v>0.22470350835415792</v>
      </c>
      <c r="AI109" s="181" t="str">
        <f t="shared" si="12"/>
        <v>Long</v>
      </c>
      <c r="AJ109" s="169">
        <f>'Field grain descriptors'!I108</f>
        <v>9</v>
      </c>
      <c r="AK109" s="159" t="s">
        <v>228</v>
      </c>
      <c r="AL109" s="177">
        <f>'Lab descriptors of grain qualit'!C108</f>
        <v>3</v>
      </c>
      <c r="AM109" s="182" t="str">
        <f t="shared" si="13"/>
        <v>Gold</v>
      </c>
      <c r="AN109" s="179">
        <f>AVERAGE('Lab descriptors of grain qualit'!D108:M108)</f>
        <v>9.178999999999998</v>
      </c>
      <c r="AO109" s="180">
        <f>STDEV('Lab descriptors of grain qualit'!D108:M108)</f>
        <v>0.2999796289380163</v>
      </c>
      <c r="AP109" s="179">
        <f>AVERAGE('Lab descriptors of grain qualit'!N108:W108)</f>
        <v>3.707</v>
      </c>
      <c r="AQ109" s="182">
        <f>STDEV('Lab descriptors of grain qualit'!N108:W108)</f>
        <v>0.09393259994983648</v>
      </c>
      <c r="AR109" s="383">
        <f t="shared" si="18"/>
        <v>2.4761262476396007</v>
      </c>
      <c r="AS109" s="180">
        <f>AVERAGE('Lab descriptors of grain qualit'!X108:AG108)</f>
        <v>2.476475055139649</v>
      </c>
      <c r="AT109" s="384">
        <f>STDEV('Lab descriptors of grain qualit'!X108:AG108)</f>
        <v>0.06626087394690532</v>
      </c>
      <c r="AU109" s="159" t="s">
        <v>228</v>
      </c>
      <c r="AV109" s="179">
        <f>AVERAGE('Lab descriptors of grain qualit'!AI108:AR108)</f>
        <v>6.851999999999999</v>
      </c>
      <c r="AW109" s="180">
        <f>STDEV('Lab descriptors of grain qualit'!AI108:AR108)</f>
        <v>0.22304957097270248</v>
      </c>
      <c r="AX109" s="179">
        <f>AVERAGE('Lab descriptors of grain qualit'!AS108:BB108)</f>
        <v>3.196</v>
      </c>
      <c r="AY109" s="180">
        <f>STDEV('Lab descriptors of grain qualit'!AS108:BB108)</f>
        <v>0.11097547276563725</v>
      </c>
      <c r="AZ109" s="179">
        <f>AVERAGE('Lab descriptors of grain qualit'!BC108:BL108)</f>
        <v>2.1451798180519055</v>
      </c>
      <c r="BA109" s="180">
        <f>STDEV('Lab descriptors of grain qualit'!BC108:BL108)</f>
        <v>0.07335547303033864</v>
      </c>
      <c r="BB109" s="183" t="str">
        <f t="shared" si="16"/>
        <v>Long A</v>
      </c>
      <c r="BC109" s="166">
        <f>'Lab descriptors of grain qualit'!BM108</f>
        <v>38</v>
      </c>
      <c r="BD109" s="184">
        <f>'Lab descriptors of grain qualit'!BO108</f>
        <v>0.6681578947368422</v>
      </c>
      <c r="BE109" s="184">
        <f>'Lab descriptors of grain qualit'!BQ108</f>
        <v>0.6139473684210526</v>
      </c>
      <c r="BF109" s="159" t="s">
        <v>228</v>
      </c>
      <c r="BG109" s="386">
        <v>21.37</v>
      </c>
      <c r="BH109" s="185"/>
      <c r="BI109" s="186" t="str">
        <f t="shared" si="17"/>
        <v>High</v>
      </c>
      <c r="BJ109" s="186">
        <f>'Lab descriptors of grain qu (2)'!E108</f>
        <v>6</v>
      </c>
      <c r="BK109" s="187">
        <f>'Lab descriptors of grain qu (2)'!F108</f>
        <v>0.99</v>
      </c>
      <c r="BL109" s="186">
        <f>'Lab descriptors of grain qu (2)'!G108</f>
        <v>7</v>
      </c>
      <c r="BM109" s="188">
        <f>'Lab descriptors of grain qu (2)'!H108</f>
        <v>1</v>
      </c>
      <c r="BN109" s="189">
        <f>'Lab descriptors of grain qu (2)'!I108</f>
        <v>9</v>
      </c>
      <c r="BO109" s="190">
        <f>'Lab descriptors of grain qu (2)'!K108</f>
        <v>0</v>
      </c>
      <c r="BP109" s="173"/>
      <c r="BQ109" s="477" t="s">
        <v>228</v>
      </c>
      <c r="BR109" s="480">
        <v>3.5</v>
      </c>
      <c r="BS109" s="483"/>
    </row>
    <row r="110" spans="1:71" ht="21">
      <c r="A110" s="198">
        <v>1695</v>
      </c>
      <c r="B110" s="159" t="s">
        <v>229</v>
      </c>
      <c r="C110" s="160"/>
      <c r="D110" s="161"/>
      <c r="E110" s="162">
        <f>'Agronomic traits'!F109</f>
        <v>83</v>
      </c>
      <c r="F110" s="162">
        <f>'Agronomic traits'!H109</f>
        <v>139</v>
      </c>
      <c r="G110" s="163">
        <f>'Agronomic traits'!I109</f>
        <v>74</v>
      </c>
      <c r="H110" s="163">
        <f>'Agronomic traits'!J109</f>
        <v>9</v>
      </c>
      <c r="I110" s="163">
        <f>'Agronomic traits'!K109</f>
        <v>4</v>
      </c>
      <c r="J110" s="159">
        <f>'Agronomic traits'!L109</f>
        <v>4</v>
      </c>
      <c r="K110" s="164" t="s">
        <v>229</v>
      </c>
      <c r="L110" s="165">
        <f>'Field plant descriptors'!C109</f>
        <v>2</v>
      </c>
      <c r="M110" s="162"/>
      <c r="N110" s="162">
        <f>'Field plant descriptors'!E109</f>
        <v>2</v>
      </c>
      <c r="O110" s="162">
        <f>'Field plant descriptors'!F109</f>
        <v>2</v>
      </c>
      <c r="P110" s="166">
        <f>AVERAGE('Field plant descriptors'!G109:L109)</f>
        <v>14.950000000000001</v>
      </c>
      <c r="Q110" s="167">
        <f>STDEV('Field plant descriptors'!G109:L109)</f>
        <v>1.2676750372236634</v>
      </c>
      <c r="R110" s="168">
        <f>'Field plant descriptors'!M109</f>
        <v>5</v>
      </c>
      <c r="S110" s="169" t="str">
        <f>'Diseases (blast)'!C120</f>
        <v>N/A</v>
      </c>
      <c r="T110" s="170" t="str">
        <f>'Diseases (blast)'!D120</f>
        <v>N/A</v>
      </c>
      <c r="U110" s="171"/>
      <c r="V110" s="171"/>
      <c r="W110" s="171"/>
      <c r="X110" s="172"/>
      <c r="Y110" s="159" t="s">
        <v>229</v>
      </c>
      <c r="Z110" s="173"/>
      <c r="AA110" s="174"/>
      <c r="AB110" s="175"/>
      <c r="AC110" s="176"/>
      <c r="AD110" s="177">
        <f>'Field grain descriptors'!C109</f>
        <v>1</v>
      </c>
      <c r="AE110" s="178" t="str">
        <f t="shared" si="11"/>
        <v>Absent</v>
      </c>
      <c r="AF110" s="177">
        <f>'Field grain descriptors'!D109</f>
        <v>7</v>
      </c>
      <c r="AG110" s="179">
        <f>AVERAGE('Field grain descriptors'!E109:H109)</f>
        <v>2.4225</v>
      </c>
      <c r="AH110" s="180">
        <f>STDEV('Field grain descriptors'!E109:H109)</f>
        <v>0.12737739202856913</v>
      </c>
      <c r="AI110" s="181" t="str">
        <f t="shared" si="12"/>
        <v>Medium</v>
      </c>
      <c r="AJ110" s="169">
        <f>'Field grain descriptors'!I109</f>
        <v>1</v>
      </c>
      <c r="AK110" s="159" t="s">
        <v>229</v>
      </c>
      <c r="AL110" s="177">
        <f>'Lab descriptors of grain qualit'!C109</f>
        <v>3</v>
      </c>
      <c r="AM110" s="182" t="str">
        <f t="shared" si="13"/>
        <v>Gold</v>
      </c>
      <c r="AN110" s="179">
        <f>AVERAGE('Lab descriptors of grain qualit'!D109:M109)</f>
        <v>8.761999999999999</v>
      </c>
      <c r="AO110" s="180">
        <f>STDEV('Lab descriptors of grain qualit'!D109:M109)</f>
        <v>0.17974055376201775</v>
      </c>
      <c r="AP110" s="179">
        <f>AVERAGE('Lab descriptors of grain qualit'!N109:W109)</f>
        <v>3.402</v>
      </c>
      <c r="AQ110" s="182">
        <f>STDEV('Lab descriptors of grain qualit'!N109:W109)</f>
        <v>0.05672545969648707</v>
      </c>
      <c r="AR110" s="383">
        <f t="shared" si="18"/>
        <v>2.5755437977660196</v>
      </c>
      <c r="AS110" s="180">
        <f>AVERAGE('Lab descriptors of grain qualit'!X109:AG109)</f>
        <v>2.5759068298884484</v>
      </c>
      <c r="AT110" s="384">
        <f>STDEV('Lab descriptors of grain qualit'!X109:AG109)</f>
        <v>0.05515154316309622</v>
      </c>
      <c r="AU110" s="159" t="s">
        <v>229</v>
      </c>
      <c r="AV110" s="179">
        <f>AVERAGE('Lab descriptors of grain qualit'!AI109:AR109)</f>
        <v>6.203</v>
      </c>
      <c r="AW110" s="180">
        <f>STDEV('Lab descriptors of grain qualit'!AI109:AR109)</f>
        <v>0.19516659550241877</v>
      </c>
      <c r="AX110" s="179">
        <f>AVERAGE('Lab descriptors of grain qualit'!AS109:BB109)</f>
        <v>2.9050000000000002</v>
      </c>
      <c r="AY110" s="180">
        <f>STDEV('Lab descriptors of grain qualit'!AS109:BB109)</f>
        <v>0.07059272861514414</v>
      </c>
      <c r="AZ110" s="179">
        <f>AVERAGE('Lab descriptors of grain qualit'!BC109:BL109)</f>
        <v>2.136299239721237</v>
      </c>
      <c r="BA110" s="180">
        <f>STDEV('Lab descriptors of grain qualit'!BC109:BL109)</f>
        <v>0.08219600044288404</v>
      </c>
      <c r="BB110" s="183" t="str">
        <f t="shared" si="16"/>
        <v>Long A</v>
      </c>
      <c r="BC110" s="166">
        <f>'Lab descriptors of grain qualit'!BM109</f>
        <v>31.6</v>
      </c>
      <c r="BD110" s="184">
        <f>'Lab descriptors of grain qualit'!BO109</f>
        <v>0.6851265822784809</v>
      </c>
      <c r="BE110" s="184">
        <f>'Lab descriptors of grain qualit'!BQ109</f>
        <v>0.5990506329113924</v>
      </c>
      <c r="BF110" s="159" t="s">
        <v>229</v>
      </c>
      <c r="BG110" s="386">
        <v>17.41</v>
      </c>
      <c r="BH110" s="185"/>
      <c r="BI110" s="186" t="str">
        <f t="shared" si="17"/>
        <v>High</v>
      </c>
      <c r="BJ110" s="186">
        <f>'Lab descriptors of grain qu (2)'!E109</f>
        <v>6</v>
      </c>
      <c r="BK110" s="187">
        <f>'Lab descriptors of grain qu (2)'!F109</f>
        <v>0.68</v>
      </c>
      <c r="BL110" s="186">
        <f>'Lab descriptors of grain qu (2)'!G109</f>
        <v>5</v>
      </c>
      <c r="BM110" s="188">
        <f>'Lab descriptors of grain qu (2)'!H109</f>
        <v>5</v>
      </c>
      <c r="BN110" s="189">
        <f>'Lab descriptors of grain qu (2)'!I109</f>
        <v>5</v>
      </c>
      <c r="BO110" s="190">
        <f>'Lab descriptors of grain qu (2)'!K109</f>
        <v>0</v>
      </c>
      <c r="BP110" s="173"/>
      <c r="BQ110" s="477" t="s">
        <v>229</v>
      </c>
      <c r="BR110" s="480">
        <v>9</v>
      </c>
      <c r="BS110" s="483" t="s">
        <v>408</v>
      </c>
    </row>
    <row r="111" spans="1:71" ht="21">
      <c r="A111" s="198">
        <v>1696</v>
      </c>
      <c r="B111" s="159" t="s">
        <v>230</v>
      </c>
      <c r="C111" s="160"/>
      <c r="D111" s="161"/>
      <c r="E111" s="162">
        <f>'Agronomic traits'!F110</f>
        <v>90</v>
      </c>
      <c r="F111" s="162">
        <f>'Agronomic traits'!H110</f>
        <v>139</v>
      </c>
      <c r="G111" s="163">
        <f>'Agronomic traits'!I110</f>
        <v>60</v>
      </c>
      <c r="H111" s="163">
        <f>'Agronomic traits'!J110</f>
        <v>9</v>
      </c>
      <c r="I111" s="163">
        <f>'Agronomic traits'!K110</f>
        <v>4</v>
      </c>
      <c r="J111" s="159">
        <f>'Agronomic traits'!L110</f>
        <v>2</v>
      </c>
      <c r="K111" s="164" t="s">
        <v>230</v>
      </c>
      <c r="L111" s="165">
        <f>'Field plant descriptors'!C110</f>
        <v>2</v>
      </c>
      <c r="M111" s="162"/>
      <c r="N111" s="162">
        <f>'Field plant descriptors'!E110</f>
        <v>2</v>
      </c>
      <c r="O111" s="162">
        <f>'Field plant descriptors'!F110</f>
        <v>3</v>
      </c>
      <c r="P111" s="166">
        <f>AVERAGE('Field plant descriptors'!G110:L110)</f>
        <v>17.2</v>
      </c>
      <c r="Q111" s="167">
        <f>STDEV('Field plant descriptors'!G110:L110)</f>
        <v>0.9055385138137316</v>
      </c>
      <c r="R111" s="168">
        <f>'Field plant descriptors'!M110</f>
        <v>5</v>
      </c>
      <c r="S111" s="169" t="str">
        <f>'Diseases (blast)'!C121</f>
        <v>N/A</v>
      </c>
      <c r="T111" s="170" t="str">
        <f>'Diseases (blast)'!D121</f>
        <v>N/A</v>
      </c>
      <c r="U111" s="171"/>
      <c r="V111" s="171"/>
      <c r="W111" s="171"/>
      <c r="X111" s="172"/>
      <c r="Y111" s="159" t="s">
        <v>230</v>
      </c>
      <c r="Z111" s="173"/>
      <c r="AA111" s="174"/>
      <c r="AB111" s="175"/>
      <c r="AC111" s="176"/>
      <c r="AD111" s="177">
        <f>'Field grain descriptors'!C110</f>
        <v>1</v>
      </c>
      <c r="AE111" s="178" t="str">
        <f t="shared" si="11"/>
        <v>Absent</v>
      </c>
      <c r="AF111" s="177">
        <f>'Field grain descriptors'!D110</f>
        <v>1</v>
      </c>
      <c r="AG111" s="179">
        <f>AVERAGE('Field grain descriptors'!E110:H110)</f>
        <v>2.2474999999999996</v>
      </c>
      <c r="AH111" s="180">
        <f>STDEV('Field grain descriptors'!E110:H110)</f>
        <v>0.2275045787085103</v>
      </c>
      <c r="AI111" s="181" t="str">
        <f t="shared" si="12"/>
        <v>Medium</v>
      </c>
      <c r="AJ111" s="169">
        <f>'Field grain descriptors'!I110</f>
        <v>1</v>
      </c>
      <c r="AK111" s="159" t="s">
        <v>230</v>
      </c>
      <c r="AL111" s="177">
        <f>'Lab descriptors of grain qualit'!C110</f>
        <v>3</v>
      </c>
      <c r="AM111" s="182" t="str">
        <f t="shared" si="13"/>
        <v>Gold</v>
      </c>
      <c r="AN111" s="179">
        <f>AVERAGE('Lab descriptors of grain qualit'!D110:M110)</f>
        <v>9.084999999999999</v>
      </c>
      <c r="AO111" s="180">
        <f>STDEV('Lab descriptors of grain qualit'!D110:M110)</f>
        <v>0.3740543632504157</v>
      </c>
      <c r="AP111" s="179">
        <f>AVERAGE('Lab descriptors of grain qualit'!N110:W110)</f>
        <v>2.9939999999999998</v>
      </c>
      <c r="AQ111" s="182">
        <f>STDEV('Lab descriptors of grain qualit'!N110:W110)</f>
        <v>0.09731963373909186</v>
      </c>
      <c r="AR111" s="383">
        <f t="shared" si="18"/>
        <v>3.0344021376085504</v>
      </c>
      <c r="AS111" s="180">
        <f>AVERAGE('Lab descriptors of grain qualit'!X110:AG110)</f>
        <v>3.0366972997283264</v>
      </c>
      <c r="AT111" s="384">
        <f>STDEV('Lab descriptors of grain qualit'!X110:AG110)</f>
        <v>0.14645259243866798</v>
      </c>
      <c r="AU111" s="159" t="s">
        <v>230</v>
      </c>
      <c r="AV111" s="179">
        <f>AVERAGE('Lab descriptors of grain qualit'!AI110:AR110)</f>
        <v>6.234999999999999</v>
      </c>
      <c r="AW111" s="180">
        <f>STDEV('Lab descriptors of grain qualit'!AI110:AR110)</f>
        <v>0.18434568976068294</v>
      </c>
      <c r="AX111" s="179">
        <f>AVERAGE('Lab descriptors of grain qualit'!AS110:BB110)</f>
        <v>2.5100000000000002</v>
      </c>
      <c r="AY111" s="180">
        <f>STDEV('Lab descriptors of grain qualit'!AS110:BB110)</f>
        <v>0.09660917830792325</v>
      </c>
      <c r="AZ111" s="179">
        <f>AVERAGE('Lab descriptors of grain qualit'!BC110:BL110)</f>
        <v>2.488672372388069</v>
      </c>
      <c r="BA111" s="180">
        <f>STDEV('Lab descriptors of grain qualit'!BC110:BL110)</f>
        <v>0.1479863932764179</v>
      </c>
      <c r="BB111" s="183" t="str">
        <f t="shared" si="16"/>
        <v>Long A</v>
      </c>
      <c r="BC111" s="166">
        <f>'Lab descriptors of grain qualit'!BM110</f>
        <v>25.91</v>
      </c>
      <c r="BD111" s="184">
        <f>'Lab descriptors of grain qualit'!BO110</f>
        <v>0.7136240833654959</v>
      </c>
      <c r="BE111" s="184">
        <f>'Lab descriptors of grain qualit'!BQ110</f>
        <v>0.6981860285604014</v>
      </c>
      <c r="BF111" s="159" t="s">
        <v>230</v>
      </c>
      <c r="BG111" s="386">
        <v>23.51</v>
      </c>
      <c r="BH111" s="185"/>
      <c r="BI111" s="186" t="str">
        <f t="shared" si="17"/>
        <v>High</v>
      </c>
      <c r="BJ111" s="186">
        <f>'Lab descriptors of grain qu (2)'!E110</f>
        <v>7</v>
      </c>
      <c r="BK111" s="187">
        <f>'Lab descriptors of grain qu (2)'!F110</f>
        <v>0.69</v>
      </c>
      <c r="BL111" s="186">
        <f>'Lab descriptors of grain qu (2)'!G110</f>
        <v>5</v>
      </c>
      <c r="BM111" s="188">
        <f>'Lab descriptors of grain qu (2)'!H110</f>
        <v>5</v>
      </c>
      <c r="BN111" s="189">
        <f>'Lab descriptors of grain qu (2)'!I110</f>
        <v>1</v>
      </c>
      <c r="BO111" s="190">
        <f>'Lab descriptors of grain qu (2)'!K110</f>
        <v>0</v>
      </c>
      <c r="BP111" s="173"/>
      <c r="BQ111" s="477" t="s">
        <v>230</v>
      </c>
      <c r="BR111" s="480">
        <v>1.5</v>
      </c>
      <c r="BS111" s="483"/>
    </row>
    <row r="112" spans="1:71" ht="21">
      <c r="A112" s="198">
        <v>1697</v>
      </c>
      <c r="B112" s="159" t="s">
        <v>231</v>
      </c>
      <c r="C112" s="160"/>
      <c r="D112" s="161"/>
      <c r="E112" s="162">
        <f>'Agronomic traits'!F111</f>
        <v>89</v>
      </c>
      <c r="F112" s="162">
        <f>'Agronomic traits'!H111</f>
        <v>143</v>
      </c>
      <c r="G112" s="163">
        <f>'Agronomic traits'!I111</f>
        <v>67</v>
      </c>
      <c r="H112" s="163">
        <f>'Agronomic traits'!J111</f>
        <v>9</v>
      </c>
      <c r="I112" s="163">
        <f>'Agronomic traits'!K111</f>
        <v>4</v>
      </c>
      <c r="J112" s="159">
        <f>'Agronomic traits'!L111</f>
        <v>2</v>
      </c>
      <c r="K112" s="164" t="s">
        <v>231</v>
      </c>
      <c r="L112" s="165">
        <f>'Field plant descriptors'!C111</f>
        <v>4</v>
      </c>
      <c r="M112" s="162"/>
      <c r="N112" s="162">
        <f>'Field plant descriptors'!E111</f>
        <v>4</v>
      </c>
      <c r="O112" s="162">
        <f>'Field plant descriptors'!F111</f>
        <v>3</v>
      </c>
      <c r="P112" s="166">
        <f>AVERAGE('Field plant descriptors'!G111:L111)</f>
        <v>17.599999999999998</v>
      </c>
      <c r="Q112" s="167">
        <f>STDEV('Field plant descriptors'!G111:L111)</f>
        <v>0.6782329983126543</v>
      </c>
      <c r="R112" s="168">
        <f>'Field plant descriptors'!M111</f>
        <v>5</v>
      </c>
      <c r="S112" s="169" t="str">
        <f>'Diseases (blast)'!C122</f>
        <v>N/A</v>
      </c>
      <c r="T112" s="170" t="str">
        <f>'Diseases (blast)'!D122</f>
        <v>N/A</v>
      </c>
      <c r="U112" s="171"/>
      <c r="V112" s="171"/>
      <c r="W112" s="171"/>
      <c r="X112" s="172"/>
      <c r="Y112" s="159" t="s">
        <v>231</v>
      </c>
      <c r="Z112" s="173"/>
      <c r="AA112" s="174"/>
      <c r="AB112" s="175"/>
      <c r="AC112" s="176"/>
      <c r="AD112" s="177">
        <f>'Field grain descriptors'!C111</f>
        <v>9</v>
      </c>
      <c r="AE112" s="178" t="str">
        <f t="shared" si="11"/>
        <v>Present</v>
      </c>
      <c r="AF112" s="177">
        <f>'Field grain descriptors'!D111</f>
        <v>1</v>
      </c>
      <c r="AG112" s="179">
        <f>AVERAGE('Field grain descriptors'!E111:H111)</f>
        <v>2.8225</v>
      </c>
      <c r="AH112" s="180">
        <f>STDEV('Field grain descriptors'!E111:H111)</f>
        <v>0.5720941064778317</v>
      </c>
      <c r="AI112" s="181" t="str">
        <f t="shared" si="12"/>
        <v>Long</v>
      </c>
      <c r="AJ112" s="169">
        <f>'Field grain descriptors'!I111</f>
        <v>1</v>
      </c>
      <c r="AK112" s="159" t="s">
        <v>231</v>
      </c>
      <c r="AL112" s="177">
        <f>'Lab descriptors of grain qualit'!C111</f>
        <v>3</v>
      </c>
      <c r="AM112" s="182" t="str">
        <f t="shared" si="13"/>
        <v>Gold</v>
      </c>
      <c r="AN112" s="179">
        <f>AVERAGE('Lab descriptors of grain qualit'!D111:M111)</f>
        <v>9.639</v>
      </c>
      <c r="AO112" s="180">
        <f>STDEV('Lab descriptors of grain qualit'!D111:M111)</f>
        <v>0.4333192305397863</v>
      </c>
      <c r="AP112" s="179">
        <f>AVERAGE('Lab descriptors of grain qualit'!N111:W111)</f>
        <v>2.558</v>
      </c>
      <c r="AQ112" s="182">
        <f>STDEV('Lab descriptors of grain qualit'!N111:W111)</f>
        <v>0.16910220446687316</v>
      </c>
      <c r="AR112" s="383">
        <f t="shared" si="18"/>
        <v>3.7681782642689603</v>
      </c>
      <c r="AS112" s="180">
        <f>AVERAGE('Lab descriptors of grain qualit'!X111:AG111)</f>
        <v>3.7767113467110383</v>
      </c>
      <c r="AT112" s="384">
        <f>STDEV('Lab descriptors of grain qualit'!X111:AG111)</f>
        <v>0.19627993063649063</v>
      </c>
      <c r="AU112" s="159" t="s">
        <v>231</v>
      </c>
      <c r="AV112" s="179">
        <f>AVERAGE('Lab descriptors of grain qualit'!AI111:AR111)</f>
        <v>7.111999999999999</v>
      </c>
      <c r="AW112" s="180">
        <f>STDEV('Lab descriptors of grain qualit'!AI111:AR111)</f>
        <v>0.2638518102605866</v>
      </c>
      <c r="AX112" s="179">
        <f>AVERAGE('Lab descriptors of grain qualit'!AS111:BB111)</f>
        <v>2.199</v>
      </c>
      <c r="AY112" s="180">
        <f>STDEV('Lab descriptors of grain qualit'!AS111:BB111)</f>
        <v>0.08569325138733871</v>
      </c>
      <c r="AZ112" s="179">
        <f>AVERAGE('Lab descriptors of grain qualit'!BC111:BL111)</f>
        <v>3.2356017868746845</v>
      </c>
      <c r="BA112" s="180">
        <f>STDEV('Lab descriptors of grain qualit'!BC111:BL111)</f>
        <v>0.0943624997160964</v>
      </c>
      <c r="BB112" s="183" t="str">
        <f t="shared" si="16"/>
        <v>Long B</v>
      </c>
      <c r="BC112" s="166">
        <f>'Lab descriptors of grain qualit'!BM111</f>
        <v>25.02</v>
      </c>
      <c r="BD112" s="184">
        <f>'Lab descriptors of grain qualit'!BO111</f>
        <v>0.7006394884092726</v>
      </c>
      <c r="BE112" s="184">
        <f>'Lab descriptors of grain qualit'!BQ111</f>
        <v>0.6766586730615508</v>
      </c>
      <c r="BF112" s="159" t="s">
        <v>231</v>
      </c>
      <c r="BG112" s="386">
        <v>17.45</v>
      </c>
      <c r="BH112" s="185"/>
      <c r="BI112" s="186" t="str">
        <f t="shared" si="17"/>
        <v>High</v>
      </c>
      <c r="BJ112" s="186">
        <f>'Lab descriptors of grain qu (2)'!E111</f>
        <v>6</v>
      </c>
      <c r="BK112" s="187">
        <f>'Lab descriptors of grain qu (2)'!F111</f>
        <v>0.15</v>
      </c>
      <c r="BL112" s="186">
        <f>'Lab descriptors of grain qu (2)'!G111</f>
        <v>3</v>
      </c>
      <c r="BM112" s="188">
        <f>'Lab descriptors of grain qu (2)'!H111</f>
        <v>0</v>
      </c>
      <c r="BN112" s="189">
        <f>'Lab descriptors of grain qu (2)'!I111</f>
        <v>1</v>
      </c>
      <c r="BO112" s="190">
        <f>'Lab descriptors of grain qu (2)'!K111</f>
        <v>0</v>
      </c>
      <c r="BP112" s="173"/>
      <c r="BQ112" s="477" t="s">
        <v>231</v>
      </c>
      <c r="BR112" s="480">
        <v>1</v>
      </c>
      <c r="BS112" s="483"/>
    </row>
    <row r="113" spans="1:71" ht="21">
      <c r="A113" s="198">
        <v>1698</v>
      </c>
      <c r="B113" s="159" t="s">
        <v>232</v>
      </c>
      <c r="C113" s="160"/>
      <c r="D113" s="161"/>
      <c r="E113" s="162">
        <f>'Agronomic traits'!F112</f>
        <v>87</v>
      </c>
      <c r="F113" s="162">
        <f>'Agronomic traits'!H112</f>
        <v>143</v>
      </c>
      <c r="G113" s="163">
        <f>'Agronomic traits'!I112</f>
        <v>80</v>
      </c>
      <c r="H113" s="163">
        <f>'Agronomic traits'!J112</f>
        <v>9</v>
      </c>
      <c r="I113" s="163">
        <f>'Agronomic traits'!K112</f>
        <v>4</v>
      </c>
      <c r="J113" s="159">
        <f>'Agronomic traits'!L112</f>
        <v>2</v>
      </c>
      <c r="K113" s="164" t="s">
        <v>232</v>
      </c>
      <c r="L113" s="165">
        <f>'Field plant descriptors'!C112</f>
        <v>2</v>
      </c>
      <c r="M113" s="162"/>
      <c r="N113" s="162">
        <f>'Field plant descriptors'!E112</f>
        <v>2</v>
      </c>
      <c r="O113" s="162">
        <f>'Field plant descriptors'!F112</f>
        <v>1</v>
      </c>
      <c r="P113" s="166">
        <f>AVERAGE('Field plant descriptors'!G112:L112)</f>
        <v>15.183333333333332</v>
      </c>
      <c r="Q113" s="167">
        <f>STDEV('Field plant descriptors'!G112:L112)</f>
        <v>1.0796604404472154</v>
      </c>
      <c r="R113" s="168">
        <f>'Field plant descriptors'!M112</f>
        <v>5</v>
      </c>
      <c r="S113" s="169" t="str">
        <f>'Diseases (blast)'!C123</f>
        <v>N/A</v>
      </c>
      <c r="T113" s="170" t="str">
        <f>'Diseases (blast)'!D123</f>
        <v>N/A</v>
      </c>
      <c r="U113" s="171"/>
      <c r="V113" s="171"/>
      <c r="W113" s="171"/>
      <c r="X113" s="172"/>
      <c r="Y113" s="159" t="s">
        <v>232</v>
      </c>
      <c r="Z113" s="173"/>
      <c r="AA113" s="174"/>
      <c r="AB113" s="175"/>
      <c r="AC113" s="176"/>
      <c r="AD113" s="177">
        <f>'Field grain descriptors'!C112</f>
        <v>9</v>
      </c>
      <c r="AE113" s="178" t="str">
        <f t="shared" si="11"/>
        <v>Present</v>
      </c>
      <c r="AF113" s="177">
        <f>'Field grain descriptors'!D112</f>
        <v>1</v>
      </c>
      <c r="AG113" s="179">
        <f>AVERAGE('Field grain descriptors'!E112:H112)</f>
        <v>2.465</v>
      </c>
      <c r="AH113" s="180">
        <f>STDEV('Field grain descriptors'!E112:H112)</f>
        <v>0.26337552404630776</v>
      </c>
      <c r="AI113" s="181" t="str">
        <f t="shared" si="12"/>
        <v>Medium</v>
      </c>
      <c r="AJ113" s="169">
        <f>'Field grain descriptors'!I112</f>
        <v>1</v>
      </c>
      <c r="AK113" s="159" t="s">
        <v>232</v>
      </c>
      <c r="AL113" s="177">
        <f>'Lab descriptors of grain qualit'!C112</f>
        <v>3</v>
      </c>
      <c r="AM113" s="182" t="str">
        <f t="shared" si="13"/>
        <v>Gold</v>
      </c>
      <c r="AN113" s="179">
        <f>AVERAGE('Lab descriptors of grain qualit'!D112:M112)</f>
        <v>8.898</v>
      </c>
      <c r="AO113" s="180">
        <f>STDEV('Lab descriptors of grain qualit'!D112:M112)</f>
        <v>0.2831881981219958</v>
      </c>
      <c r="AP113" s="179">
        <f>AVERAGE('Lab descriptors of grain qualit'!N112:W112)</f>
        <v>3.0809999999999995</v>
      </c>
      <c r="AQ113" s="182">
        <f>STDEV('Lab descriptors of grain qualit'!N112:W112)</f>
        <v>0.10439774369635758</v>
      </c>
      <c r="AR113" s="383">
        <f t="shared" si="18"/>
        <v>2.8880233690360275</v>
      </c>
      <c r="AS113" s="180">
        <f>AVERAGE('Lab descriptors of grain qualit'!X112:AG112)</f>
        <v>2.890072475171696</v>
      </c>
      <c r="AT113" s="384">
        <f>STDEV('Lab descriptors of grain qualit'!X112:AG112)</f>
        <v>0.10928640661931843</v>
      </c>
      <c r="AU113" s="159" t="s">
        <v>232</v>
      </c>
      <c r="AV113" s="179">
        <f>AVERAGE('Lab descriptors of grain qualit'!AI112:AR112)</f>
        <v>6.487</v>
      </c>
      <c r="AW113" s="180">
        <f>STDEV('Lab descriptors of grain qualit'!AI112:AR112)</f>
        <v>0.16951237254085363</v>
      </c>
      <c r="AX113" s="179">
        <f>AVERAGE('Lab descriptors of grain qualit'!AS112:BB112)</f>
        <v>2.6440000000000006</v>
      </c>
      <c r="AY113" s="180">
        <f>STDEV('Lab descriptors of grain qualit'!AS112:BB112)</f>
        <v>0.08540101482611544</v>
      </c>
      <c r="AZ113" s="179">
        <f>AVERAGE('Lab descriptors of grain qualit'!BC112:BL112)</f>
        <v>2.4559598251216213</v>
      </c>
      <c r="BA113" s="180">
        <f>STDEV('Lab descriptors of grain qualit'!BC112:BL112)</f>
        <v>0.10594722988010899</v>
      </c>
      <c r="BB113" s="183" t="str">
        <f t="shared" si="16"/>
        <v>Long A</v>
      </c>
      <c r="BC113" s="166">
        <f>'Lab descriptors of grain qualit'!BM112</f>
        <v>28.94</v>
      </c>
      <c r="BD113" s="184">
        <f>'Lab descriptors of grain qualit'!BO112</f>
        <v>0.7180373185901866</v>
      </c>
      <c r="BE113" s="184">
        <f>'Lab descriptors of grain qualit'!BQ112</f>
        <v>0.6986869384934347</v>
      </c>
      <c r="BF113" s="159" t="s">
        <v>232</v>
      </c>
      <c r="BG113" s="386">
        <v>18.29</v>
      </c>
      <c r="BH113" s="185"/>
      <c r="BI113" s="186" t="str">
        <f t="shared" si="17"/>
        <v>High</v>
      </c>
      <c r="BJ113" s="186">
        <f>'Lab descriptors of grain qu (2)'!E112</f>
        <v>6</v>
      </c>
      <c r="BK113" s="187">
        <f>'Lab descriptors of grain qu (2)'!F112</f>
        <v>0.76</v>
      </c>
      <c r="BL113" s="186">
        <f>'Lab descriptors of grain qu (2)'!G112</f>
        <v>5</v>
      </c>
      <c r="BM113" s="188">
        <f>'Lab descriptors of grain qu (2)'!H112</f>
        <v>5</v>
      </c>
      <c r="BN113" s="189">
        <f>'Lab descriptors of grain qu (2)'!I112</f>
        <v>5</v>
      </c>
      <c r="BO113" s="190">
        <f>'Lab descriptors of grain qu (2)'!K112</f>
        <v>0</v>
      </c>
      <c r="BP113" s="173"/>
      <c r="BQ113" s="477" t="s">
        <v>232</v>
      </c>
      <c r="BR113" s="480">
        <v>2.5</v>
      </c>
      <c r="BS113" s="483"/>
    </row>
    <row r="114" spans="1:71" ht="21">
      <c r="A114" s="197">
        <v>1699</v>
      </c>
      <c r="B114" s="159" t="s">
        <v>233</v>
      </c>
      <c r="C114" s="160"/>
      <c r="D114" s="161"/>
      <c r="E114" s="162">
        <f>'Agronomic traits'!F113</f>
        <v>94</v>
      </c>
      <c r="F114" s="162">
        <f>'Agronomic traits'!H113</f>
        <v>144</v>
      </c>
      <c r="G114" s="163">
        <f>'Agronomic traits'!I113</f>
        <v>76</v>
      </c>
      <c r="H114" s="163">
        <f>'Agronomic traits'!J113</f>
        <v>9</v>
      </c>
      <c r="I114" s="163">
        <f>'Agronomic traits'!K113</f>
        <v>2</v>
      </c>
      <c r="J114" s="159">
        <f>'Agronomic traits'!L113</f>
        <v>2</v>
      </c>
      <c r="K114" s="164" t="s">
        <v>234</v>
      </c>
      <c r="L114" s="165">
        <f>'Field plant descriptors'!C113</f>
        <v>2</v>
      </c>
      <c r="M114" s="162"/>
      <c r="N114" s="162">
        <f>'Field plant descriptors'!E113</f>
        <v>2</v>
      </c>
      <c r="O114" s="162">
        <f>'Field plant descriptors'!F113</f>
        <v>2</v>
      </c>
      <c r="P114" s="166">
        <f>AVERAGE('Field plant descriptors'!G113:L113)</f>
        <v>16.95</v>
      </c>
      <c r="Q114" s="167">
        <f>STDEV('Field plant descriptors'!G113:L113)</f>
        <v>1.7375269782078482</v>
      </c>
      <c r="R114" s="168">
        <f>'Field plant descriptors'!M113</f>
        <v>5</v>
      </c>
      <c r="S114" s="169" t="str">
        <f>'Diseases (blast)'!C124</f>
        <v>N/A</v>
      </c>
      <c r="T114" s="170" t="str">
        <f>'Diseases (blast)'!D124</f>
        <v>N/A</v>
      </c>
      <c r="U114" s="171"/>
      <c r="V114" s="171"/>
      <c r="W114" s="171"/>
      <c r="X114" s="172"/>
      <c r="Y114" s="159" t="s">
        <v>233</v>
      </c>
      <c r="Z114" s="173"/>
      <c r="AA114" s="174"/>
      <c r="AB114" s="175"/>
      <c r="AC114" s="176"/>
      <c r="AD114" s="177">
        <f>'Field grain descriptors'!C113</f>
        <v>1</v>
      </c>
      <c r="AE114" s="178" t="str">
        <f t="shared" si="11"/>
        <v>Absent</v>
      </c>
      <c r="AF114" s="177">
        <f>'Field grain descriptors'!D113</f>
        <v>9</v>
      </c>
      <c r="AG114" s="179">
        <f>AVERAGE('Field grain descriptors'!E113:H113)</f>
        <v>2.78</v>
      </c>
      <c r="AH114" s="180">
        <f>STDEV('Field grain descriptors'!E113:H113)</f>
        <v>0.22642143596989217</v>
      </c>
      <c r="AI114" s="181" t="str">
        <f t="shared" si="12"/>
        <v>Long</v>
      </c>
      <c r="AJ114" s="169">
        <f>'Field grain descriptors'!I113</f>
        <v>2</v>
      </c>
      <c r="AK114" s="159" t="s">
        <v>233</v>
      </c>
      <c r="AL114" s="177">
        <f>'Lab descriptors of grain qualit'!C113</f>
        <v>3</v>
      </c>
      <c r="AM114" s="182" t="str">
        <f t="shared" si="13"/>
        <v>Gold</v>
      </c>
      <c r="AN114" s="179">
        <f>AVERAGE('Lab descriptors of grain qualit'!D113:M113)</f>
        <v>7.653999999999999</v>
      </c>
      <c r="AO114" s="180">
        <f>STDEV('Lab descriptors of grain qualit'!D113:M113)</f>
        <v>0.36430146246697837</v>
      </c>
      <c r="AP114" s="179">
        <f>AVERAGE('Lab descriptors of grain qualit'!N113:W113)</f>
        <v>3.467</v>
      </c>
      <c r="AQ114" s="182">
        <f>STDEV('Lab descriptors of grain qualit'!N113:W113)</f>
        <v>0.09416887903005539</v>
      </c>
      <c r="AR114" s="383">
        <f t="shared" si="18"/>
        <v>2.2076723391981536</v>
      </c>
      <c r="AS114" s="180">
        <f>AVERAGE('Lab descriptors of grain qualit'!X113:AG113)</f>
        <v>2.2102341547095024</v>
      </c>
      <c r="AT114" s="384">
        <f>STDEV('Lab descriptors of grain qualit'!X113:AG113)</f>
        <v>0.14377162438121863</v>
      </c>
      <c r="AU114" s="159" t="s">
        <v>233</v>
      </c>
      <c r="AV114" s="179">
        <f>AVERAGE('Lab descriptors of grain qualit'!AI113:AR113)</f>
        <v>5.229000000000001</v>
      </c>
      <c r="AW114" s="180">
        <f>STDEV('Lab descriptors of grain qualit'!AI113:AR113)</f>
        <v>0.46905223589701545</v>
      </c>
      <c r="AX114" s="179">
        <f>AVERAGE('Lab descriptors of grain qualit'!AS113:BB113)</f>
        <v>3.0519999999999996</v>
      </c>
      <c r="AY114" s="180">
        <f>STDEV('Lab descriptors of grain qualit'!AS113:BB113)</f>
        <v>0.08403702887551932</v>
      </c>
      <c r="AZ114" s="179">
        <f>AVERAGE('Lab descriptors of grain qualit'!BC113:BL113)</f>
        <v>1.7166048151395086</v>
      </c>
      <c r="BA114" s="180">
        <f>STDEV('Lab descriptors of grain qualit'!BC113:BL113)</f>
        <v>0.1896570148057072</v>
      </c>
      <c r="BB114" s="183" t="str">
        <f t="shared" si="16"/>
        <v>Medium</v>
      </c>
      <c r="BC114" s="166">
        <f>'Lab descriptors of grain qualit'!BM113</f>
        <v>29.83</v>
      </c>
      <c r="BD114" s="184">
        <f>'Lab descriptors of grain qualit'!BO113</f>
        <v>0.7207509218907141</v>
      </c>
      <c r="BE114" s="184">
        <f>'Lab descriptors of grain qualit'!BQ113</f>
        <v>0.7023131076097888</v>
      </c>
      <c r="BF114" s="159" t="s">
        <v>233</v>
      </c>
      <c r="BG114" s="386">
        <v>19.05</v>
      </c>
      <c r="BH114" s="185"/>
      <c r="BI114" s="186" t="str">
        <f t="shared" si="17"/>
        <v>High</v>
      </c>
      <c r="BJ114" s="186">
        <f>'Lab descriptors of grain qu (2)'!E113</f>
        <v>7</v>
      </c>
      <c r="BK114" s="187">
        <f>'Lab descriptors of grain qu (2)'!F113</f>
        <v>0.59</v>
      </c>
      <c r="BL114" s="186">
        <f>'Lab descriptors of grain qu (2)'!G113</f>
        <v>5</v>
      </c>
      <c r="BM114" s="188">
        <f>'Lab descriptors of grain qu (2)'!H113</f>
        <v>1</v>
      </c>
      <c r="BN114" s="189">
        <f>'Lab descriptors of grain qu (2)'!I113</f>
        <v>5</v>
      </c>
      <c r="BO114" s="190">
        <f>'Lab descriptors of grain qu (2)'!K113</f>
        <v>0</v>
      </c>
      <c r="BP114" s="173"/>
      <c r="BQ114" s="477" t="s">
        <v>233</v>
      </c>
      <c r="BR114" s="480">
        <v>0.5</v>
      </c>
      <c r="BS114" s="483"/>
    </row>
    <row r="115" spans="1:71" ht="21">
      <c r="A115" s="197">
        <v>1700</v>
      </c>
      <c r="B115" s="159" t="s">
        <v>235</v>
      </c>
      <c r="C115" s="160"/>
      <c r="D115" s="161"/>
      <c r="E115" s="162">
        <f>'Agronomic traits'!F114</f>
        <v>92</v>
      </c>
      <c r="F115" s="162">
        <f>'Agronomic traits'!H114</f>
        <v>142</v>
      </c>
      <c r="G115" s="163">
        <f>'Agronomic traits'!I114</f>
        <v>60</v>
      </c>
      <c r="H115" s="163">
        <f>'Agronomic traits'!J114</f>
        <v>9</v>
      </c>
      <c r="I115" s="163">
        <f>'Agronomic traits'!K114</f>
        <v>4</v>
      </c>
      <c r="J115" s="159">
        <f>'Agronomic traits'!L114</f>
        <v>5</v>
      </c>
      <c r="K115" s="164" t="s">
        <v>235</v>
      </c>
      <c r="L115" s="165">
        <f>'Field plant descriptors'!C114</f>
        <v>2</v>
      </c>
      <c r="M115" s="162"/>
      <c r="N115" s="162">
        <f>'Field plant descriptors'!E114</f>
        <v>4</v>
      </c>
      <c r="O115" s="162">
        <f>'Field plant descriptors'!F114</f>
        <v>3</v>
      </c>
      <c r="P115" s="166">
        <f>AVERAGE('Field plant descriptors'!G114:L114)</f>
        <v>18.01666666666667</v>
      </c>
      <c r="Q115" s="167">
        <f>STDEV('Field plant descriptors'!G114:L114)</f>
        <v>1.6228575620388155</v>
      </c>
      <c r="R115" s="168">
        <f>'Field plant descriptors'!M114</f>
        <v>5</v>
      </c>
      <c r="S115" s="169" t="str">
        <f>'Diseases (blast)'!C125</f>
        <v>N/A</v>
      </c>
      <c r="T115" s="170" t="str">
        <f>'Diseases (blast)'!D125</f>
        <v>N/A</v>
      </c>
      <c r="U115" s="171"/>
      <c r="V115" s="171"/>
      <c r="W115" s="171"/>
      <c r="X115" s="172"/>
      <c r="Y115" s="159" t="s">
        <v>235</v>
      </c>
      <c r="Z115" s="173"/>
      <c r="AA115" s="174"/>
      <c r="AB115" s="175"/>
      <c r="AC115" s="176"/>
      <c r="AD115" s="177">
        <f>'Field grain descriptors'!C114</f>
        <v>9</v>
      </c>
      <c r="AE115" s="178" t="str">
        <f t="shared" si="11"/>
        <v>Present</v>
      </c>
      <c r="AF115" s="177">
        <f>'Field grain descriptors'!D114</f>
        <v>1</v>
      </c>
      <c r="AG115" s="179">
        <f>AVERAGE('Field grain descriptors'!E114:H114)</f>
        <v>2.7225</v>
      </c>
      <c r="AH115" s="180">
        <f>STDEV('Field grain descriptors'!E114:H114)</f>
        <v>0.2577304793771929</v>
      </c>
      <c r="AI115" s="181" t="str">
        <f t="shared" si="12"/>
        <v>Long</v>
      </c>
      <c r="AJ115" s="169">
        <f>'Field grain descriptors'!I114</f>
        <v>1</v>
      </c>
      <c r="AK115" s="159" t="s">
        <v>235</v>
      </c>
      <c r="AL115" s="177">
        <f>'Lab descriptors of grain qualit'!C114</f>
        <v>3</v>
      </c>
      <c r="AM115" s="182" t="str">
        <f t="shared" si="13"/>
        <v>Gold</v>
      </c>
      <c r="AN115" s="179">
        <f>AVERAGE('Lab descriptors of grain qualit'!D114:M114)</f>
        <v>9.807</v>
      </c>
      <c r="AO115" s="180">
        <f>STDEV('Lab descriptors of grain qualit'!D114:M114)</f>
        <v>0.2960123871282083</v>
      </c>
      <c r="AP115" s="179">
        <f>AVERAGE('Lab descriptors of grain qualit'!N114:W114)</f>
        <v>2.4509999999999996</v>
      </c>
      <c r="AQ115" s="182">
        <f>STDEV('Lab descriptors of grain qualit'!N114:W114)</f>
        <v>0.09243015380997463</v>
      </c>
      <c r="AR115" s="383">
        <f t="shared" si="18"/>
        <v>4.0012239902080795</v>
      </c>
      <c r="AS115" s="180">
        <f>AVERAGE('Lab descriptors of grain qualit'!X114:AG114)</f>
        <v>4.004977732554934</v>
      </c>
      <c r="AT115" s="384">
        <f>STDEV('Lab descriptors of grain qualit'!X114:AG114)</f>
        <v>0.16100777254954057</v>
      </c>
      <c r="AU115" s="159" t="s">
        <v>235</v>
      </c>
      <c r="AV115" s="179">
        <f>AVERAGE('Lab descriptors of grain qualit'!AI114:AR114)</f>
        <v>7.307</v>
      </c>
      <c r="AW115" s="180">
        <f>STDEV('Lab descriptors of grain qualit'!AI114:AR114)</f>
        <v>0.23281132083963377</v>
      </c>
      <c r="AX115" s="179">
        <f>AVERAGE('Lab descriptors of grain qualit'!AS114:BB114)</f>
        <v>2.149</v>
      </c>
      <c r="AY115" s="180">
        <f>STDEV('Lab descriptors of grain qualit'!AS114:BB114)</f>
        <v>0.0678969807870802</v>
      </c>
      <c r="AZ115" s="179">
        <f>AVERAGE('Lab descriptors of grain qualit'!BC114:BL114)</f>
        <v>3.4023764700737495</v>
      </c>
      <c r="BA115" s="180">
        <f>STDEV('Lab descriptors of grain qualit'!BC114:BL114)</f>
        <v>0.12778892950183482</v>
      </c>
      <c r="BB115" s="183" t="str">
        <f t="shared" si="16"/>
        <v>Long B</v>
      </c>
      <c r="BC115" s="166">
        <f>'Lab descriptors of grain qualit'!BM114</f>
        <v>23.63</v>
      </c>
      <c r="BD115" s="184">
        <f>'Lab descriptors of grain qualit'!BO114</f>
        <v>0.7126534066864156</v>
      </c>
      <c r="BE115" s="184">
        <f>'Lab descriptors of grain qualit'!BQ114</f>
        <v>0.6576385950063478</v>
      </c>
      <c r="BF115" s="159" t="s">
        <v>235</v>
      </c>
      <c r="BG115" s="386">
        <v>24.76</v>
      </c>
      <c r="BH115" s="185"/>
      <c r="BI115" s="186" t="str">
        <f t="shared" si="17"/>
        <v>Intermediate</v>
      </c>
      <c r="BJ115" s="186">
        <f>'Lab descriptors of grain qu (2)'!E114</f>
        <v>5</v>
      </c>
      <c r="BK115" s="187">
        <f>'Lab descriptors of grain qu (2)'!F114</f>
        <v>0.52</v>
      </c>
      <c r="BL115" s="186">
        <f>'Lab descriptors of grain qu (2)'!G114</f>
        <v>3</v>
      </c>
      <c r="BM115" s="188">
        <f>'Lab descriptors of grain qu (2)'!H114</f>
        <v>0</v>
      </c>
      <c r="BN115" s="189">
        <f>'Lab descriptors of grain qu (2)'!I114</f>
        <v>1</v>
      </c>
      <c r="BO115" s="190">
        <f>'Lab descriptors of grain qu (2)'!K114</f>
        <v>0</v>
      </c>
      <c r="BP115" s="173"/>
      <c r="BQ115" s="477" t="s">
        <v>235</v>
      </c>
      <c r="BR115" s="480">
        <v>0.5</v>
      </c>
      <c r="BS115" s="483"/>
    </row>
    <row r="116" spans="1:71" ht="21">
      <c r="A116" s="197">
        <v>1701</v>
      </c>
      <c r="B116" s="159" t="s">
        <v>236</v>
      </c>
      <c r="C116" s="160"/>
      <c r="D116" s="161"/>
      <c r="E116" s="162">
        <f>'Agronomic traits'!F115</f>
        <v>92</v>
      </c>
      <c r="F116" s="162">
        <f>'Agronomic traits'!H115</f>
        <v>152</v>
      </c>
      <c r="G116" s="163">
        <f>'Agronomic traits'!I115</f>
        <v>95</v>
      </c>
      <c r="H116" s="163">
        <f>'Agronomic traits'!J115</f>
        <v>9</v>
      </c>
      <c r="I116" s="163">
        <f>'Agronomic traits'!K115</f>
        <v>1</v>
      </c>
      <c r="J116" s="159">
        <f>'Agronomic traits'!L115</f>
        <v>4</v>
      </c>
      <c r="K116" s="164" t="s">
        <v>236</v>
      </c>
      <c r="L116" s="165">
        <f>'Field plant descriptors'!C115</f>
        <v>4</v>
      </c>
      <c r="M116" s="162"/>
      <c r="N116" s="162">
        <f>'Field plant descriptors'!E115</f>
        <v>6</v>
      </c>
      <c r="O116" s="162">
        <f>'Field plant descriptors'!F115</f>
        <v>3</v>
      </c>
      <c r="P116" s="166">
        <f>AVERAGE('Field plant descriptors'!G115:L115)</f>
        <v>18.566666666666666</v>
      </c>
      <c r="Q116" s="167">
        <f>STDEV('Field plant descriptors'!G115:L115)</f>
        <v>1.5667375870472429</v>
      </c>
      <c r="R116" s="168">
        <f>'Field plant descriptors'!M115</f>
        <v>5</v>
      </c>
      <c r="S116" s="169" t="str">
        <f>'Diseases (blast)'!C126</f>
        <v>N/A</v>
      </c>
      <c r="T116" s="170" t="str">
        <f>'Diseases (blast)'!D126</f>
        <v>N/A</v>
      </c>
      <c r="U116" s="171"/>
      <c r="V116" s="171"/>
      <c r="W116" s="171"/>
      <c r="X116" s="172"/>
      <c r="Y116" s="159" t="s">
        <v>236</v>
      </c>
      <c r="Z116" s="173"/>
      <c r="AA116" s="174"/>
      <c r="AB116" s="175"/>
      <c r="AC116" s="176"/>
      <c r="AD116" s="177">
        <f>'Field grain descriptors'!C115</f>
        <v>1</v>
      </c>
      <c r="AE116" s="178" t="str">
        <f t="shared" si="11"/>
        <v>Absent</v>
      </c>
      <c r="AF116" s="177">
        <f>'Field grain descriptors'!D115</f>
        <v>7</v>
      </c>
      <c r="AG116" s="179">
        <f>AVERAGE('Field grain descriptors'!E115:H115)</f>
        <v>2.8125</v>
      </c>
      <c r="AH116" s="180">
        <f>STDEV('Field grain descriptors'!E115:H115)</f>
        <v>0.36691279617914635</v>
      </c>
      <c r="AI116" s="181" t="str">
        <f t="shared" si="12"/>
        <v>Long</v>
      </c>
      <c r="AJ116" s="169">
        <f>'Field grain descriptors'!I115</f>
        <v>4</v>
      </c>
      <c r="AK116" s="159" t="s">
        <v>236</v>
      </c>
      <c r="AL116" s="177">
        <f>'Lab descriptors of grain qualit'!C115</f>
        <v>3</v>
      </c>
      <c r="AM116" s="182" t="str">
        <f t="shared" si="13"/>
        <v>Gold</v>
      </c>
      <c r="AN116" s="179">
        <f>AVERAGE('Lab descriptors of grain qualit'!D115:M115)</f>
        <v>8.16</v>
      </c>
      <c r="AO116" s="180">
        <f>STDEV('Lab descriptors of grain qualit'!D115:M115)</f>
        <v>0.5908374470942813</v>
      </c>
      <c r="AP116" s="179">
        <f>AVERAGE('Lab descriptors of grain qualit'!N115:W115)</f>
        <v>3.6079999999999997</v>
      </c>
      <c r="AQ116" s="182">
        <f>STDEV('Lab descriptors of grain qualit'!N115:W115)</f>
        <v>0.1547614652008448</v>
      </c>
      <c r="AR116" s="383">
        <f t="shared" si="18"/>
        <v>2.261640798226164</v>
      </c>
      <c r="AS116" s="180">
        <f>AVERAGE('Lab descriptors of grain qualit'!X115:AG115)</f>
        <v>2.260114933190713</v>
      </c>
      <c r="AT116" s="384">
        <f>STDEV('Lab descriptors of grain qualit'!X115:AG115)</f>
        <v>0.0988908474554262</v>
      </c>
      <c r="AU116" s="159" t="s">
        <v>236</v>
      </c>
      <c r="AV116" s="179">
        <f>AVERAGE('Lab descriptors of grain qualit'!AI115:AR115)</f>
        <v>6.098</v>
      </c>
      <c r="AW116" s="180">
        <f>STDEV('Lab descriptors of grain qualit'!AI115:AR115)</f>
        <v>0.25887792060694953</v>
      </c>
      <c r="AX116" s="179">
        <f>AVERAGE('Lab descriptors of grain qualit'!AS115:BB115)</f>
        <v>3.2199999999999998</v>
      </c>
      <c r="AY116" s="180">
        <f>STDEV('Lab descriptors of grain qualit'!AS115:BB115)</f>
        <v>0.05577733510227163</v>
      </c>
      <c r="AZ116" s="179">
        <f>AVERAGE('Lab descriptors of grain qualit'!BC115:BL115)</f>
        <v>1.8939294291165307</v>
      </c>
      <c r="BA116" s="180">
        <f>STDEV('Lab descriptors of grain qualit'!BC115:BL115)</f>
        <v>0.07775866013143934</v>
      </c>
      <c r="BB116" s="183" t="str">
        <f t="shared" si="16"/>
        <v>Long A</v>
      </c>
      <c r="BC116" s="166">
        <f>'Lab descriptors of grain qualit'!BM115</f>
        <v>31.96</v>
      </c>
      <c r="BD116" s="184">
        <f>'Lab descriptors of grain qualit'!BO115</f>
        <v>0.6989987484355444</v>
      </c>
      <c r="BE116" s="184">
        <f>'Lab descriptors of grain qualit'!BQ115</f>
        <v>0.6761576971214017</v>
      </c>
      <c r="BF116" s="159" t="s">
        <v>236</v>
      </c>
      <c r="BG116" s="387">
        <v>20.03</v>
      </c>
      <c r="BH116" s="185"/>
      <c r="BI116" s="186" t="str">
        <f t="shared" si="17"/>
        <v>High</v>
      </c>
      <c r="BJ116" s="186">
        <f>'Lab descriptors of grain qu (2)'!E115</f>
        <v>7</v>
      </c>
      <c r="BK116" s="187">
        <f>'Lab descriptors of grain qu (2)'!F115</f>
        <v>0.96</v>
      </c>
      <c r="BL116" s="186">
        <f>'Lab descriptors of grain qu (2)'!G115</f>
        <v>9</v>
      </c>
      <c r="BM116" s="188">
        <f>'Lab descriptors of grain qu (2)'!H115</f>
        <v>9</v>
      </c>
      <c r="BN116" s="189">
        <f>'Lab descriptors of grain qu (2)'!I115</f>
        <v>9</v>
      </c>
      <c r="BO116" s="190">
        <f>'Lab descriptors of grain qu (2)'!K115</f>
        <v>0</v>
      </c>
      <c r="BP116" s="173"/>
      <c r="BQ116" s="477" t="s">
        <v>236</v>
      </c>
      <c r="BR116" s="480">
        <v>6</v>
      </c>
      <c r="BS116" s="483"/>
    </row>
    <row r="117" spans="1:71" ht="21">
      <c r="A117" s="197">
        <v>1702</v>
      </c>
      <c r="B117" s="159" t="s">
        <v>237</v>
      </c>
      <c r="C117" s="160"/>
      <c r="D117" s="161"/>
      <c r="E117" s="162">
        <f>'Agronomic traits'!F116</f>
        <v>98</v>
      </c>
      <c r="F117" s="162">
        <f>'Agronomic traits'!H116</f>
        <v>156</v>
      </c>
      <c r="G117" s="163">
        <f>'Agronomic traits'!I116</f>
        <v>90</v>
      </c>
      <c r="H117" s="163">
        <f>'Agronomic traits'!J116</f>
        <v>9</v>
      </c>
      <c r="I117" s="163">
        <f>'Agronomic traits'!K116</f>
        <v>4</v>
      </c>
      <c r="J117" s="159">
        <f>'Agronomic traits'!L116</f>
        <v>4</v>
      </c>
      <c r="K117" s="164" t="s">
        <v>237</v>
      </c>
      <c r="L117" s="165">
        <f>'Field plant descriptors'!C116</f>
        <v>2</v>
      </c>
      <c r="M117" s="162"/>
      <c r="N117" s="162">
        <f>'Field plant descriptors'!E116</f>
        <v>4</v>
      </c>
      <c r="O117" s="162">
        <f>'Field plant descriptors'!F116</f>
        <v>3</v>
      </c>
      <c r="P117" s="166">
        <f>AVERAGE('Field plant descriptors'!G116:L116)</f>
        <v>23.21666666666667</v>
      </c>
      <c r="Q117" s="167">
        <f>STDEV('Field plant descriptors'!G116:L116)</f>
        <v>1.574060566390815</v>
      </c>
      <c r="R117" s="168">
        <f>'Field plant descriptors'!M116</f>
        <v>5</v>
      </c>
      <c r="S117" s="169" t="str">
        <f>'Diseases (blast)'!C127</f>
        <v>N/A</v>
      </c>
      <c r="T117" s="170" t="str">
        <f>'Diseases (blast)'!D127</f>
        <v>N/A</v>
      </c>
      <c r="U117" s="171"/>
      <c r="V117" s="171"/>
      <c r="W117" s="171"/>
      <c r="X117" s="172"/>
      <c r="Y117" s="159" t="s">
        <v>237</v>
      </c>
      <c r="Z117" s="173"/>
      <c r="AA117" s="174"/>
      <c r="AB117" s="175"/>
      <c r="AC117" s="176"/>
      <c r="AD117" s="177">
        <f>'Field grain descriptors'!C116</f>
        <v>1</v>
      </c>
      <c r="AE117" s="178" t="str">
        <f t="shared" si="11"/>
        <v>Absent</v>
      </c>
      <c r="AF117" s="177">
        <f>'Field grain descriptors'!D116</f>
        <v>7</v>
      </c>
      <c r="AG117" s="179">
        <f>AVERAGE('Field grain descriptors'!E116:H116)</f>
        <v>3.2925000000000004</v>
      </c>
      <c r="AH117" s="180">
        <f>STDEV('Field grain descriptors'!E116:H116)</f>
        <v>0.2997081914129141</v>
      </c>
      <c r="AI117" s="181" t="str">
        <f t="shared" si="12"/>
        <v>Long</v>
      </c>
      <c r="AJ117" s="169">
        <f>'Field grain descriptors'!I116</f>
        <v>3</v>
      </c>
      <c r="AK117" s="159" t="s">
        <v>237</v>
      </c>
      <c r="AL117" s="177">
        <f>'Lab descriptors of grain qualit'!C116</f>
        <v>3</v>
      </c>
      <c r="AM117" s="182" t="str">
        <f t="shared" si="13"/>
        <v>Gold</v>
      </c>
      <c r="AN117" s="179">
        <f>AVERAGE('Lab descriptors of grain qualit'!D116:M116)</f>
        <v>9.916</v>
      </c>
      <c r="AO117" s="180">
        <f>STDEV('Lab descriptors of grain qualit'!D116:M116)</f>
        <v>0.5045614157089542</v>
      </c>
      <c r="AP117" s="179">
        <f>AVERAGE('Lab descriptors of grain qualit'!N116:W116)</f>
        <v>3.175</v>
      </c>
      <c r="AQ117" s="182">
        <f>STDEV('Lab descriptors of grain qualit'!N116:W116)</f>
        <v>0.11549410759381258</v>
      </c>
      <c r="AR117" s="383">
        <f t="shared" si="18"/>
        <v>3.123149606299213</v>
      </c>
      <c r="AS117" s="180">
        <f>AVERAGE('Lab descriptors of grain qualit'!X116:AG116)</f>
        <v>3.1256044477485547</v>
      </c>
      <c r="AT117" s="384">
        <f>STDEV('Lab descriptors of grain qualit'!X116:AG116)</f>
        <v>0.17047350788496285</v>
      </c>
      <c r="AU117" s="159" t="s">
        <v>237</v>
      </c>
      <c r="AV117" s="179">
        <f>AVERAGE('Lab descriptors of grain qualit'!AI116:AR116)</f>
        <v>7.01</v>
      </c>
      <c r="AW117" s="180">
        <f>STDEV('Lab descriptors of grain qualit'!AI116:AR116)</f>
        <v>0.2816617356570457</v>
      </c>
      <c r="AX117" s="179">
        <f>AVERAGE('Lab descriptors of grain qualit'!AS116:BB116)</f>
        <v>2.6349999999999993</v>
      </c>
      <c r="AY117" s="180">
        <f>STDEV('Lab descriptors of grain qualit'!AS116:BB116)</f>
        <v>0.10855106325290448</v>
      </c>
      <c r="AZ117" s="179">
        <f>AVERAGE('Lab descriptors of grain qualit'!BC116:BL116)</f>
        <v>2.661072962692878</v>
      </c>
      <c r="BA117" s="180">
        <f>STDEV('Lab descriptors of grain qualit'!BC116:BL116)</f>
        <v>0.05863012637918718</v>
      </c>
      <c r="BB117" s="183" t="str">
        <f t="shared" si="16"/>
        <v>Long A</v>
      </c>
      <c r="BC117" s="166">
        <f>'Lab descriptors of grain qualit'!BM116</f>
        <v>27.75</v>
      </c>
      <c r="BD117" s="184">
        <f>'Lab descriptors of grain qualit'!BO116</f>
        <v>0.7041441441441442</v>
      </c>
      <c r="BE117" s="184">
        <f>'Lab descriptors of grain qualit'!BQ116</f>
        <v>0.6926126126126125</v>
      </c>
      <c r="BF117" s="159" t="s">
        <v>237</v>
      </c>
      <c r="BG117" s="386">
        <v>18.54</v>
      </c>
      <c r="BH117" s="185"/>
      <c r="BI117" s="186" t="str">
        <f t="shared" si="17"/>
        <v>High</v>
      </c>
      <c r="BJ117" s="186">
        <f>'Lab descriptors of grain qu (2)'!E116</f>
        <v>7</v>
      </c>
      <c r="BK117" s="187">
        <f>'Lab descriptors of grain qu (2)'!F116</f>
        <v>0.31</v>
      </c>
      <c r="BL117" s="186">
        <f>'Lab descriptors of grain qu (2)'!G116</f>
        <v>5</v>
      </c>
      <c r="BM117" s="188">
        <f>'Lab descriptors of grain qu (2)'!H116</f>
        <v>5</v>
      </c>
      <c r="BN117" s="189">
        <f>'Lab descriptors of grain qu (2)'!I116</f>
        <v>5</v>
      </c>
      <c r="BO117" s="190">
        <f>'Lab descriptors of grain qu (2)'!K116</f>
        <v>0</v>
      </c>
      <c r="BP117" s="173"/>
      <c r="BQ117" s="477" t="s">
        <v>237</v>
      </c>
      <c r="BR117" s="480">
        <v>0</v>
      </c>
      <c r="BS117" s="483"/>
    </row>
    <row r="118" spans="1:71" ht="21">
      <c r="A118" s="197">
        <v>1703</v>
      </c>
      <c r="B118" s="159" t="s">
        <v>238</v>
      </c>
      <c r="C118" s="160"/>
      <c r="D118" s="161"/>
      <c r="E118" s="162">
        <f>'Agronomic traits'!F117</f>
        <v>108</v>
      </c>
      <c r="F118" s="162">
        <f>'Agronomic traits'!H117</f>
        <v>155</v>
      </c>
      <c r="G118" s="163">
        <f>'Agronomic traits'!I117</f>
        <v>68</v>
      </c>
      <c r="H118" s="163">
        <f>'Agronomic traits'!J117</f>
        <v>9</v>
      </c>
      <c r="I118" s="163">
        <f>'Agronomic traits'!K117</f>
        <v>4</v>
      </c>
      <c r="J118" s="159">
        <f>'Agronomic traits'!L117</f>
        <v>5</v>
      </c>
      <c r="K118" s="164" t="s">
        <v>238</v>
      </c>
      <c r="L118" s="165">
        <f>'Field plant descriptors'!C117</f>
        <v>2</v>
      </c>
      <c r="M118" s="162"/>
      <c r="N118" s="162">
        <f>'Field plant descriptors'!E117</f>
        <v>2</v>
      </c>
      <c r="O118" s="162">
        <f>'Field plant descriptors'!F117</f>
        <v>3</v>
      </c>
      <c r="P118" s="166">
        <f>AVERAGE('Field plant descriptors'!G117:L117)</f>
        <v>19.583333333333332</v>
      </c>
      <c r="Q118" s="167">
        <f>STDEV('Field plant descriptors'!G117:L117)</f>
        <v>0.8304617189652659</v>
      </c>
      <c r="R118" s="168">
        <f>'Field plant descriptors'!M117</f>
        <v>5</v>
      </c>
      <c r="S118" s="169" t="str">
        <f>'Diseases (blast)'!C128</f>
        <v>N/A</v>
      </c>
      <c r="T118" s="170" t="str">
        <f>'Diseases (blast)'!D128</f>
        <v>N/A</v>
      </c>
      <c r="U118" s="171"/>
      <c r="V118" s="171"/>
      <c r="W118" s="171"/>
      <c r="X118" s="172"/>
      <c r="Y118" s="159" t="s">
        <v>238</v>
      </c>
      <c r="Z118" s="173"/>
      <c r="AA118" s="174"/>
      <c r="AB118" s="175"/>
      <c r="AC118" s="176"/>
      <c r="AD118" s="177">
        <f>'Field grain descriptors'!C117</f>
        <v>9</v>
      </c>
      <c r="AE118" s="178" t="str">
        <f t="shared" si="11"/>
        <v>Present</v>
      </c>
      <c r="AF118" s="177">
        <f>'Field grain descriptors'!D117</f>
        <v>1</v>
      </c>
      <c r="AG118" s="179">
        <f>AVERAGE('Field grain descriptors'!E117:H117)</f>
        <v>2.2425</v>
      </c>
      <c r="AH118" s="180">
        <f>STDEV('Field grain descriptors'!E117:H117)</f>
        <v>0.16378339354159185</v>
      </c>
      <c r="AI118" s="181" t="str">
        <f t="shared" si="12"/>
        <v>Medium</v>
      </c>
      <c r="AJ118" s="169">
        <f>'Field grain descriptors'!I117</f>
        <v>1</v>
      </c>
      <c r="AK118" s="159" t="s">
        <v>238</v>
      </c>
      <c r="AL118" s="177">
        <f>'Lab descriptors of grain qualit'!C117</f>
        <v>3</v>
      </c>
      <c r="AM118" s="182" t="str">
        <f t="shared" si="13"/>
        <v>Gold</v>
      </c>
      <c r="AN118" s="179">
        <f>AVERAGE('Lab descriptors of grain qualit'!D117:M117)</f>
        <v>9.154</v>
      </c>
      <c r="AO118" s="180">
        <f>STDEV('Lab descriptors of grain qualit'!D117:M117)</f>
        <v>0.20073199379608664</v>
      </c>
      <c r="AP118" s="179">
        <f>AVERAGE('Lab descriptors of grain qualit'!N117:W117)</f>
        <v>2.38</v>
      </c>
      <c r="AQ118" s="182">
        <f>STDEV('Lab descriptors of grain qualit'!N117:W117)</f>
        <v>0.05055250296034723</v>
      </c>
      <c r="AR118" s="383">
        <f t="shared" si="18"/>
        <v>3.846218487394958</v>
      </c>
      <c r="AS118" s="180">
        <f>AVERAGE('Lab descriptors of grain qualit'!X117:AG117)</f>
        <v>3.8480308208966725</v>
      </c>
      <c r="AT118" s="384">
        <f>STDEV('Lab descriptors of grain qualit'!X117:AG117)</f>
        <v>0.12540085695487893</v>
      </c>
      <c r="AU118" s="159" t="s">
        <v>238</v>
      </c>
      <c r="AV118" s="179">
        <f>AVERAGE('Lab descriptors of grain qualit'!AI117:AR117)</f>
        <v>6.874</v>
      </c>
      <c r="AW118" s="180">
        <f>STDEV('Lab descriptors of grain qualit'!AI117:AR117)</f>
        <v>0.35787024339992224</v>
      </c>
      <c r="AX118" s="179">
        <f>AVERAGE('Lab descriptors of grain qualit'!AS117:BB117)</f>
        <v>2.097</v>
      </c>
      <c r="AY118" s="180">
        <f>STDEV('Lab descriptors of grain qualit'!AS117:BB117)</f>
        <v>0.07874713398664884</v>
      </c>
      <c r="AZ118" s="179">
        <f>AVERAGE('Lab descriptors of grain qualit'!BC117:BL117)</f>
        <v>3.279555683099421</v>
      </c>
      <c r="BA118" s="180">
        <f>STDEV('Lab descriptors of grain qualit'!BC117:BL117)</f>
        <v>0.15853037014003807</v>
      </c>
      <c r="BB118" s="183" t="str">
        <f t="shared" si="16"/>
        <v>Long B</v>
      </c>
      <c r="BC118" s="166">
        <f>'Lab descriptors of grain qualit'!BM117</f>
        <v>22.31</v>
      </c>
      <c r="BD118" s="184">
        <f>'Lab descriptors of grain qualit'!BO117</f>
        <v>0.7126848946660691</v>
      </c>
      <c r="BE118" s="184">
        <f>'Lab descriptors of grain qualit'!BQ117</f>
        <v>0.6588973554459884</v>
      </c>
      <c r="BF118" s="159" t="s">
        <v>238</v>
      </c>
      <c r="BG118" s="386">
        <v>23.32</v>
      </c>
      <c r="BH118" s="185"/>
      <c r="BI118" s="186" t="str">
        <f t="shared" si="17"/>
        <v>Intermediate</v>
      </c>
      <c r="BJ118" s="186">
        <f>'Lab descriptors of grain qu (2)'!E117</f>
        <v>5</v>
      </c>
      <c r="BK118" s="187">
        <f>'Lab descriptors of grain qu (2)'!F117</f>
        <v>0.68</v>
      </c>
      <c r="BL118" s="186">
        <f>'Lab descriptors of grain qu (2)'!G117</f>
        <v>5</v>
      </c>
      <c r="BM118" s="188">
        <f>'Lab descriptors of grain qu (2)'!H117</f>
        <v>5</v>
      </c>
      <c r="BN118" s="189">
        <f>'Lab descriptors of grain qu (2)'!I117</f>
        <v>5</v>
      </c>
      <c r="BO118" s="190">
        <f>'Lab descriptors of grain qu (2)'!K117</f>
        <v>0</v>
      </c>
      <c r="BP118" s="173"/>
      <c r="BQ118" s="477" t="s">
        <v>238</v>
      </c>
      <c r="BR118" s="480">
        <v>2.5</v>
      </c>
      <c r="BS118" s="483"/>
    </row>
    <row r="119" spans="1:71" ht="21">
      <c r="A119" s="198">
        <v>1704</v>
      </c>
      <c r="B119" s="159" t="s">
        <v>239</v>
      </c>
      <c r="C119" s="160"/>
      <c r="D119" s="161"/>
      <c r="E119" s="162">
        <f>'Agronomic traits'!F118</f>
        <v>108</v>
      </c>
      <c r="F119" s="162">
        <f>'Agronomic traits'!H118</f>
        <v>156</v>
      </c>
      <c r="G119" s="163">
        <f>'Agronomic traits'!I118</f>
        <v>66</v>
      </c>
      <c r="H119" s="163">
        <f>'Agronomic traits'!J118</f>
        <v>9</v>
      </c>
      <c r="I119" s="163">
        <f>'Agronomic traits'!K118</f>
        <v>2</v>
      </c>
      <c r="J119" s="159">
        <f>'Agronomic traits'!L118</f>
        <v>2</v>
      </c>
      <c r="K119" s="164" t="s">
        <v>239</v>
      </c>
      <c r="L119" s="165">
        <f>'Field plant descriptors'!C118</f>
        <v>2</v>
      </c>
      <c r="M119" s="162"/>
      <c r="N119" s="162">
        <f>'Field plant descriptors'!E118</f>
        <v>4</v>
      </c>
      <c r="O119" s="162">
        <f>'Field plant descriptors'!F118</f>
        <v>2</v>
      </c>
      <c r="P119" s="166">
        <f>AVERAGE('Field plant descriptors'!G118:L118)</f>
        <v>15.883333333333333</v>
      </c>
      <c r="Q119" s="167">
        <f>STDEV('Field plant descriptors'!G118:L118)</f>
        <v>0.923940835046642</v>
      </c>
      <c r="R119" s="168">
        <f>'Field plant descriptors'!M118</f>
        <v>5</v>
      </c>
      <c r="S119" s="169" t="str">
        <f>'Diseases (blast)'!C129</f>
        <v>N/A</v>
      </c>
      <c r="T119" s="170" t="str">
        <f>'Diseases (blast)'!D129</f>
        <v>N/A</v>
      </c>
      <c r="U119" s="171"/>
      <c r="V119" s="171"/>
      <c r="W119" s="171"/>
      <c r="X119" s="172"/>
      <c r="Y119" s="159" t="s">
        <v>239</v>
      </c>
      <c r="Z119" s="173"/>
      <c r="AA119" s="174"/>
      <c r="AB119" s="175"/>
      <c r="AC119" s="176"/>
      <c r="AD119" s="177">
        <f>'Field grain descriptors'!C118</f>
        <v>1</v>
      </c>
      <c r="AE119" s="178" t="str">
        <f t="shared" si="11"/>
        <v>Absent</v>
      </c>
      <c r="AF119" s="177">
        <f>'Field grain descriptors'!D118</f>
        <v>9</v>
      </c>
      <c r="AG119" s="179">
        <f>AVERAGE('Field grain descriptors'!E118:H118)</f>
        <v>3.0975</v>
      </c>
      <c r="AH119" s="180">
        <f>STDEV('Field grain descriptors'!E118:H118)</f>
        <v>0.21515498289992321</v>
      </c>
      <c r="AI119" s="181" t="str">
        <f t="shared" si="12"/>
        <v>Long</v>
      </c>
      <c r="AJ119" s="169">
        <f>'Field grain descriptors'!I118</f>
        <v>2</v>
      </c>
      <c r="AK119" s="159" t="s">
        <v>239</v>
      </c>
      <c r="AL119" s="177">
        <f>'Lab descriptors of grain qualit'!C118</f>
        <v>3</v>
      </c>
      <c r="AM119" s="182" t="str">
        <f t="shared" si="13"/>
        <v>Gold</v>
      </c>
      <c r="AN119" s="179">
        <f>AVERAGE('Lab descriptors of grain qualit'!D118:M118)</f>
        <v>8.288</v>
      </c>
      <c r="AO119" s="180">
        <f>STDEV('Lab descriptors of grain qualit'!D118:M118)</f>
        <v>0.4169678911165789</v>
      </c>
      <c r="AP119" s="179">
        <f>AVERAGE('Lab descriptors of grain qualit'!N118:W118)</f>
        <v>3.3409999999999997</v>
      </c>
      <c r="AQ119" s="182">
        <f>STDEV('Lab descriptors of grain qualit'!N118:W118)</f>
        <v>0.14487159065110933</v>
      </c>
      <c r="AR119" s="383">
        <f t="shared" si="18"/>
        <v>2.4806944028733913</v>
      </c>
      <c r="AS119" s="180">
        <f>AVERAGE('Lab descriptors of grain qualit'!X118:AG118)</f>
        <v>2.482246263932679</v>
      </c>
      <c r="AT119" s="384">
        <f>STDEV('Lab descriptors of grain qualit'!X118:AG118)</f>
        <v>0.11574160917936172</v>
      </c>
      <c r="AU119" s="159" t="s">
        <v>239</v>
      </c>
      <c r="AV119" s="179">
        <f>AVERAGE('Lab descriptors of grain qualit'!AI118:AR118)</f>
        <v>5.602</v>
      </c>
      <c r="AW119" s="180">
        <f>STDEV('Lab descriptors of grain qualit'!AI118:AR118)</f>
        <v>0.1793692652974102</v>
      </c>
      <c r="AX119" s="179">
        <f>AVERAGE('Lab descriptors of grain qualit'!AS118:BB118)</f>
        <v>2.8400000000000003</v>
      </c>
      <c r="AY119" s="180">
        <f>STDEV('Lab descriptors of grain qualit'!AS118:BB118)</f>
        <v>0.07527726527089904</v>
      </c>
      <c r="AZ119" s="179">
        <f>AVERAGE('Lab descriptors of grain qualit'!BC118:BL118)</f>
        <v>1.9739698149187621</v>
      </c>
      <c r="BA119" s="180">
        <f>STDEV('Lab descriptors of grain qualit'!BC118:BL118)</f>
        <v>0.08663242770965227</v>
      </c>
      <c r="BB119" s="183" t="str">
        <f t="shared" si="16"/>
        <v>Medium</v>
      </c>
      <c r="BC119" s="166">
        <f>'Lab descriptors of grain qualit'!BM118</f>
        <v>29.07</v>
      </c>
      <c r="BD119" s="184">
        <f>'Lab descriptors of grain qualit'!BO118</f>
        <v>0.6976264189886481</v>
      </c>
      <c r="BE119" s="184">
        <f>'Lab descriptors of grain qualit'!BQ118</f>
        <v>0.6879944960440316</v>
      </c>
      <c r="BF119" s="159" t="s">
        <v>239</v>
      </c>
      <c r="BG119" s="386">
        <v>16.47</v>
      </c>
      <c r="BH119" s="185"/>
      <c r="BI119" s="186" t="str">
        <f t="shared" si="17"/>
        <v>High</v>
      </c>
      <c r="BJ119" s="186">
        <f>'Lab descriptors of grain qu (2)'!E118</f>
        <v>7</v>
      </c>
      <c r="BK119" s="187">
        <f>'Lab descriptors of grain qu (2)'!F118</f>
        <v>0.49</v>
      </c>
      <c r="BL119" s="186">
        <f>'Lab descriptors of grain qu (2)'!G118</f>
        <v>5</v>
      </c>
      <c r="BM119" s="188">
        <f>'Lab descriptors of grain qu (2)'!H118</f>
        <v>5</v>
      </c>
      <c r="BN119" s="189">
        <f>'Lab descriptors of grain qu (2)'!I118</f>
        <v>1</v>
      </c>
      <c r="BO119" s="190">
        <f>'Lab descriptors of grain qu (2)'!K118</f>
        <v>0</v>
      </c>
      <c r="BP119" s="173"/>
      <c r="BQ119" s="477" t="s">
        <v>239</v>
      </c>
      <c r="BR119" s="480">
        <v>2.5</v>
      </c>
      <c r="BS119" s="483"/>
    </row>
    <row r="120" spans="1:71" ht="21">
      <c r="A120" s="198">
        <v>1705</v>
      </c>
      <c r="B120" s="159" t="s">
        <v>240</v>
      </c>
      <c r="C120" s="160"/>
      <c r="D120" s="161"/>
      <c r="E120" s="162">
        <f>'Agronomic traits'!F119</f>
        <v>102</v>
      </c>
      <c r="F120" s="162">
        <f>'Agronomic traits'!H119</f>
        <v>157</v>
      </c>
      <c r="G120" s="163">
        <f>'Agronomic traits'!I119</f>
        <v>60</v>
      </c>
      <c r="H120" s="163">
        <f>'Agronomic traits'!J119</f>
        <v>9</v>
      </c>
      <c r="I120" s="163">
        <f>'Agronomic traits'!K119</f>
        <v>4</v>
      </c>
      <c r="J120" s="159">
        <f>'Agronomic traits'!L119</f>
        <v>6</v>
      </c>
      <c r="K120" s="164" t="s">
        <v>240</v>
      </c>
      <c r="L120" s="165">
        <f>'Field plant descriptors'!C119</f>
        <v>2</v>
      </c>
      <c r="M120" s="162"/>
      <c r="N120" s="162">
        <f>'Field plant descriptors'!E119</f>
        <v>2</v>
      </c>
      <c r="O120" s="162">
        <f>'Field plant descriptors'!F119</f>
        <v>3</v>
      </c>
      <c r="P120" s="166">
        <f>AVERAGE('Field plant descriptors'!G119:L119)</f>
        <v>20.716666666666665</v>
      </c>
      <c r="Q120" s="167">
        <f>STDEV('Field plant descriptors'!G119:L119)</f>
        <v>1.1720352668186516</v>
      </c>
      <c r="R120" s="168">
        <f>'Field plant descriptors'!M119</f>
        <v>5</v>
      </c>
      <c r="S120" s="169" t="str">
        <f>'Diseases (blast)'!C130</f>
        <v>N/A</v>
      </c>
      <c r="T120" s="170" t="str">
        <f>'Diseases (blast)'!D130</f>
        <v>N/A</v>
      </c>
      <c r="U120" s="171"/>
      <c r="V120" s="171"/>
      <c r="W120" s="171"/>
      <c r="X120" s="172"/>
      <c r="Y120" s="159" t="s">
        <v>240</v>
      </c>
      <c r="Z120" s="173"/>
      <c r="AA120" s="174"/>
      <c r="AB120" s="175"/>
      <c r="AC120" s="176"/>
      <c r="AD120" s="177">
        <f>'Field grain descriptors'!C119</f>
        <v>1</v>
      </c>
      <c r="AE120" s="178" t="str">
        <f t="shared" si="11"/>
        <v>Absent</v>
      </c>
      <c r="AF120" s="177">
        <f>'Field grain descriptors'!D119</f>
        <v>3</v>
      </c>
      <c r="AG120" s="179">
        <f>AVERAGE('Field grain descriptors'!E119:H119)</f>
        <v>2.9025</v>
      </c>
      <c r="AH120" s="180">
        <f>STDEV('Field grain descriptors'!E119:H119)</f>
        <v>0.36917701264659925</v>
      </c>
      <c r="AI120" s="181" t="str">
        <f t="shared" si="12"/>
        <v>Long</v>
      </c>
      <c r="AJ120" s="169">
        <f>'Field grain descriptors'!I119</f>
        <v>1</v>
      </c>
      <c r="AK120" s="159" t="s">
        <v>240</v>
      </c>
      <c r="AL120" s="177" t="str">
        <f>'Lab descriptors of grain qualit'!C119</f>
        <v>3-5</v>
      </c>
      <c r="AM120" s="182" t="str">
        <f t="shared" si="13"/>
        <v>Brown/Reddish</v>
      </c>
      <c r="AN120" s="179">
        <f>AVERAGE('Lab descriptors of grain qualit'!D119:M119)</f>
        <v>9.468</v>
      </c>
      <c r="AO120" s="180">
        <f>STDEV('Lab descriptors of grain qualit'!D119:M119)</f>
        <v>0.36508142166432767</v>
      </c>
      <c r="AP120" s="179">
        <f>AVERAGE('Lab descriptors of grain qualit'!N119:W119)</f>
        <v>2.5549999999999997</v>
      </c>
      <c r="AQ120" s="182">
        <f>STDEV('Lab descriptors of grain qualit'!N119:W119)</f>
        <v>0.13898441159593555</v>
      </c>
      <c r="AR120" s="383">
        <f t="shared" si="18"/>
        <v>3.7056751467710374</v>
      </c>
      <c r="AS120" s="180">
        <f>AVERAGE('Lab descriptors of grain qualit'!X119:AG119)</f>
        <v>3.7127425064211357</v>
      </c>
      <c r="AT120" s="384">
        <f>STDEV('Lab descriptors of grain qualit'!X119:AG119)</f>
        <v>0.20072970211247482</v>
      </c>
      <c r="AU120" s="159" t="s">
        <v>240</v>
      </c>
      <c r="AV120" s="179">
        <f>AVERAGE('Lab descriptors of grain qualit'!AI119:AR119)</f>
        <v>6.319</v>
      </c>
      <c r="AW120" s="180">
        <f>STDEV('Lab descriptors of grain qualit'!AI119:AR119)</f>
        <v>0.4992538877609714</v>
      </c>
      <c r="AX120" s="179">
        <f>AVERAGE('Lab descriptors of grain qualit'!AS119:BB119)</f>
        <v>2.0149999999999997</v>
      </c>
      <c r="AY120" s="180">
        <f>STDEV('Lab descriptors of grain qualit'!AS119:BB119)</f>
        <v>0.07820912137767314</v>
      </c>
      <c r="AZ120" s="179">
        <f>AVERAGE('Lab descriptors of grain qualit'!BC119:BL119)</f>
        <v>3.13425375898183</v>
      </c>
      <c r="BA120" s="180">
        <f>STDEV('Lab descriptors of grain qualit'!BC119:BL119)</f>
        <v>0.18850061682077862</v>
      </c>
      <c r="BB120" s="183" t="str">
        <f t="shared" si="16"/>
        <v>Long B</v>
      </c>
      <c r="BC120" s="166">
        <f>'Lab descriptors of grain qualit'!BM119</f>
        <v>19.32</v>
      </c>
      <c r="BD120" s="184">
        <f>'Lab descriptors of grain qualit'!BO119</f>
        <v>0.7039337474120082</v>
      </c>
      <c r="BE120" s="184">
        <f>'Lab descriptors of grain qualit'!BQ119</f>
        <v>0.6449275362318841</v>
      </c>
      <c r="BF120" s="159" t="s">
        <v>240</v>
      </c>
      <c r="BG120" s="386">
        <v>23.11</v>
      </c>
      <c r="BH120" s="185"/>
      <c r="BI120" s="186" t="str">
        <f t="shared" si="17"/>
        <v>High</v>
      </c>
      <c r="BJ120" s="186">
        <f>'Lab descriptors of grain qu (2)'!E119</f>
        <v>6</v>
      </c>
      <c r="BK120" s="187">
        <f>'Lab descriptors of grain qu (2)'!F119</f>
        <v>0.93</v>
      </c>
      <c r="BL120" s="186">
        <f>'Lab descriptors of grain qu (2)'!G119</f>
        <v>7</v>
      </c>
      <c r="BM120" s="188">
        <f>'Lab descriptors of grain qu (2)'!H119</f>
        <v>0</v>
      </c>
      <c r="BN120" s="189">
        <f>'Lab descriptors of grain qu (2)'!I119</f>
        <v>9</v>
      </c>
      <c r="BO120" s="190">
        <f>'Lab descriptors of grain qu (2)'!K119</f>
        <v>0</v>
      </c>
      <c r="BP120" s="173"/>
      <c r="BQ120" s="477" t="s">
        <v>240</v>
      </c>
      <c r="BR120" s="480">
        <v>2.5</v>
      </c>
      <c r="BS120" s="483"/>
    </row>
    <row r="121" spans="1:71" ht="21">
      <c r="A121" s="198">
        <v>1706</v>
      </c>
      <c r="B121" s="159" t="s">
        <v>241</v>
      </c>
      <c r="C121" s="160"/>
      <c r="D121" s="161"/>
      <c r="E121" s="162">
        <f>'Agronomic traits'!F120</f>
        <v>104</v>
      </c>
      <c r="F121" s="162"/>
      <c r="G121" s="163">
        <f>'Agronomic traits'!I120</f>
        <v>50</v>
      </c>
      <c r="H121" s="163">
        <f>'Agronomic traits'!J120</f>
        <v>9</v>
      </c>
      <c r="I121" s="163">
        <f>'Agronomic traits'!K120</f>
        <v>7</v>
      </c>
      <c r="J121" s="159">
        <f>'Agronomic traits'!L120</f>
        <v>2</v>
      </c>
      <c r="K121" s="164" t="s">
        <v>241</v>
      </c>
      <c r="L121" s="165">
        <f>'Field plant descriptors'!C120</f>
        <v>2</v>
      </c>
      <c r="M121" s="162"/>
      <c r="N121" s="162">
        <f>'Field plant descriptors'!E120</f>
        <v>2</v>
      </c>
      <c r="O121" s="162">
        <f>'Field plant descriptors'!F120</f>
        <v>3</v>
      </c>
      <c r="P121" s="166">
        <f>AVERAGE('Field plant descriptors'!G120:L120)</f>
        <v>19.16</v>
      </c>
      <c r="Q121" s="167">
        <f>STDEV('Field plant descriptors'!G120:L120)</f>
        <v>1.9165072397463052</v>
      </c>
      <c r="R121" s="168">
        <f>'Field plant descriptors'!M120</f>
        <v>5</v>
      </c>
      <c r="S121" s="169" t="str">
        <f>'Diseases (blast)'!C131</f>
        <v>N/A</v>
      </c>
      <c r="T121" s="170" t="str">
        <f>'Diseases (blast)'!D131</f>
        <v>N/A</v>
      </c>
      <c r="U121" s="171"/>
      <c r="V121" s="171"/>
      <c r="W121" s="171"/>
      <c r="X121" s="172"/>
      <c r="Y121" s="159" t="s">
        <v>241</v>
      </c>
      <c r="Z121" s="173"/>
      <c r="AA121" s="174"/>
      <c r="AB121" s="175"/>
      <c r="AC121" s="176"/>
      <c r="AD121" s="177">
        <f>'Field grain descriptors'!C120</f>
        <v>1</v>
      </c>
      <c r="AE121" s="178" t="str">
        <f t="shared" si="11"/>
        <v>Absent</v>
      </c>
      <c r="AF121" s="177">
        <f>'Field grain descriptors'!D120</f>
        <v>7</v>
      </c>
      <c r="AG121" s="179">
        <f>AVERAGE('Field grain descriptors'!E120:H120)</f>
        <v>2.5525</v>
      </c>
      <c r="AH121" s="180">
        <f>STDEV('Field grain descriptors'!E120:H120)</f>
        <v>0.22911059920192436</v>
      </c>
      <c r="AI121" s="181" t="str">
        <f t="shared" si="12"/>
        <v>Long</v>
      </c>
      <c r="AJ121" s="169">
        <f>'Field grain descriptors'!I120</f>
        <v>1</v>
      </c>
      <c r="AK121" s="159" t="s">
        <v>241</v>
      </c>
      <c r="AL121" s="177">
        <f>'Lab descriptors of grain qualit'!C120</f>
        <v>3</v>
      </c>
      <c r="AM121" s="182" t="str">
        <f t="shared" si="13"/>
        <v>Gold</v>
      </c>
      <c r="AN121" s="179">
        <f>AVERAGE('Lab descriptors of grain qualit'!D120:M120)</f>
        <v>9.575</v>
      </c>
      <c r="AO121" s="180">
        <f>STDEV('Lab descriptors of grain qualit'!D120:M120)</f>
        <v>0.40351924090158825</v>
      </c>
      <c r="AP121" s="179">
        <f>AVERAGE('Lab descriptors of grain qualit'!N120:W120)</f>
        <v>2.713</v>
      </c>
      <c r="AQ121" s="182">
        <f>STDEV('Lab descriptors of grain qualit'!N120:W120)</f>
        <v>0.0648159788255208</v>
      </c>
      <c r="AR121" s="383">
        <f t="shared" si="18"/>
        <v>3.5293033542204197</v>
      </c>
      <c r="AS121" s="180">
        <f>AVERAGE('Lab descriptors of grain qualit'!X120:AG120)</f>
        <v>3.5302080322345</v>
      </c>
      <c r="AT121" s="384">
        <f>STDEV('Lab descriptors of grain qualit'!X120:AG120)</f>
        <v>0.14890644549056029</v>
      </c>
      <c r="AU121" s="159" t="s">
        <v>241</v>
      </c>
      <c r="AV121" s="179">
        <f>AVERAGE('Lab descriptors of grain qualit'!AI120:AR120)</f>
        <v>6.843000000000001</v>
      </c>
      <c r="AW121" s="180">
        <f>STDEV('Lab descriptors of grain qualit'!AI120:AR120)</f>
        <v>0.2932973462773318</v>
      </c>
      <c r="AX121" s="179">
        <f>AVERAGE('Lab descriptors of grain qualit'!AS120:BB120)</f>
        <v>2.2309999999999994</v>
      </c>
      <c r="AY121" s="180">
        <f>STDEV('Lab descriptors of grain qualit'!AS120:BB120)</f>
        <v>0.09073159439922338</v>
      </c>
      <c r="AZ121" s="179">
        <f>AVERAGE('Lab descriptors of grain qualit'!BC120:BL120)</f>
        <v>3.0693419365768646</v>
      </c>
      <c r="BA121" s="180">
        <f>STDEV('Lab descriptors of grain qualit'!BC120:BL120)</f>
        <v>0.12513124187172686</v>
      </c>
      <c r="BB121" s="183" t="str">
        <f t="shared" si="16"/>
        <v>Long B</v>
      </c>
      <c r="BC121" s="166">
        <f>'Lab descriptors of grain qualit'!BM120</f>
        <v>23.700000000000003</v>
      </c>
      <c r="BD121" s="184">
        <f>'Lab descriptors of grain qualit'!BO120</f>
        <v>0.6751054852320675</v>
      </c>
      <c r="BE121" s="184">
        <f>'Lab descriptors of grain qualit'!BQ120</f>
        <v>0.5189873417721519</v>
      </c>
      <c r="BF121" s="159" t="s">
        <v>241</v>
      </c>
      <c r="BG121" s="389"/>
      <c r="BH121" s="185"/>
      <c r="BI121" s="186" t="str">
        <f t="shared" si="17"/>
        <v>Intermediate</v>
      </c>
      <c r="BJ121" s="186">
        <f>'Lab descriptors of grain qu (2)'!E120</f>
        <v>5</v>
      </c>
      <c r="BK121" s="187">
        <f>'Lab descriptors of grain qu (2)'!F120</f>
        <v>1</v>
      </c>
      <c r="BL121" s="186">
        <f>'Lab descriptors of grain qu (2)'!G120</f>
        <v>9</v>
      </c>
      <c r="BM121" s="188">
        <f>'Lab descriptors of grain qu (2)'!H120</f>
        <v>0</v>
      </c>
      <c r="BN121" s="189">
        <f>'Lab descriptors of grain qu (2)'!I120</f>
        <v>9</v>
      </c>
      <c r="BO121" s="190">
        <f>'Lab descriptors of grain qu (2)'!K120</f>
        <v>0</v>
      </c>
      <c r="BP121" s="173"/>
      <c r="BQ121" s="477" t="s">
        <v>241</v>
      </c>
      <c r="BR121" s="480">
        <v>2.5</v>
      </c>
      <c r="BS121" s="483"/>
    </row>
    <row r="122" spans="1:71" ht="21">
      <c r="A122" s="198">
        <v>1707</v>
      </c>
      <c r="B122" s="159" t="s">
        <v>242</v>
      </c>
      <c r="C122" s="160"/>
      <c r="D122" s="161"/>
      <c r="E122" s="162">
        <f>'Agronomic traits'!F121</f>
        <v>95</v>
      </c>
      <c r="F122" s="162">
        <f>'Agronomic traits'!H121</f>
        <v>151</v>
      </c>
      <c r="G122" s="163">
        <f>'Agronomic traits'!I121</f>
        <v>93</v>
      </c>
      <c r="H122" s="163">
        <f>'Agronomic traits'!J121</f>
        <v>9</v>
      </c>
      <c r="I122" s="163">
        <f>'Agronomic traits'!K121</f>
        <v>1</v>
      </c>
      <c r="J122" s="159">
        <f>'Agronomic traits'!L121</f>
        <v>2</v>
      </c>
      <c r="K122" s="164" t="s">
        <v>242</v>
      </c>
      <c r="L122" s="165">
        <f>'Field plant descriptors'!C121</f>
        <v>2</v>
      </c>
      <c r="M122" s="162"/>
      <c r="N122" s="162">
        <f>'Field plant descriptors'!E121</f>
        <v>2</v>
      </c>
      <c r="O122" s="162">
        <f>'Field plant descriptors'!F121</f>
        <v>1</v>
      </c>
      <c r="P122" s="166">
        <f>AVERAGE('Field plant descriptors'!G121:L121)</f>
        <v>15.299999999999999</v>
      </c>
      <c r="Q122" s="167">
        <f>STDEV('Field plant descriptors'!G121:L121)</f>
        <v>0.404969134626316</v>
      </c>
      <c r="R122" s="168">
        <f>'Field plant descriptors'!M121</f>
        <v>5</v>
      </c>
      <c r="S122" s="169" t="str">
        <f>'Diseases (blast)'!C132</f>
        <v>N/A</v>
      </c>
      <c r="T122" s="170" t="str">
        <f>'Diseases (blast)'!D132</f>
        <v>N/A</v>
      </c>
      <c r="U122" s="171"/>
      <c r="V122" s="171"/>
      <c r="W122" s="171"/>
      <c r="X122" s="172"/>
      <c r="Y122" s="159" t="s">
        <v>242</v>
      </c>
      <c r="Z122" s="173"/>
      <c r="AA122" s="174"/>
      <c r="AB122" s="175"/>
      <c r="AC122" s="176"/>
      <c r="AD122" s="177">
        <f>'Field grain descriptors'!C121</f>
        <v>1</v>
      </c>
      <c r="AE122" s="178" t="str">
        <f t="shared" si="11"/>
        <v>Absent</v>
      </c>
      <c r="AF122" s="177">
        <f>'Field grain descriptors'!D121</f>
        <v>7</v>
      </c>
      <c r="AG122" s="179">
        <f>AVERAGE('Field grain descriptors'!E121:H121)</f>
        <v>2.5575</v>
      </c>
      <c r="AH122" s="180">
        <f>STDEV('Field grain descriptors'!E121:H121)</f>
        <v>0.35188776619825995</v>
      </c>
      <c r="AI122" s="181" t="str">
        <f t="shared" si="12"/>
        <v>Long</v>
      </c>
      <c r="AJ122" s="169">
        <f>'Field grain descriptors'!I121</f>
        <v>1</v>
      </c>
      <c r="AK122" s="159" t="s">
        <v>242</v>
      </c>
      <c r="AL122" s="177">
        <f>'Lab descriptors of grain qualit'!C121</f>
        <v>3</v>
      </c>
      <c r="AM122" s="182" t="str">
        <f t="shared" si="13"/>
        <v>Gold</v>
      </c>
      <c r="AN122" s="179">
        <f>AVERAGE('Lab descriptors of grain qualit'!D121:M121)</f>
        <v>8.427</v>
      </c>
      <c r="AO122" s="180">
        <f>STDEV('Lab descriptors of grain qualit'!D121:M121)</f>
        <v>0.29257667561022876</v>
      </c>
      <c r="AP122" s="179">
        <f>AVERAGE('Lab descriptors of grain qualit'!N121:W121)</f>
        <v>3.214</v>
      </c>
      <c r="AQ122" s="182">
        <f>STDEV('Lab descriptors of grain qualit'!N121:W121)</f>
        <v>0.1733461533720509</v>
      </c>
      <c r="AR122" s="383">
        <f t="shared" si="18"/>
        <v>2.6219663970130678</v>
      </c>
      <c r="AS122" s="180">
        <f>AVERAGE('Lab descriptors of grain qualit'!X121:AG121)</f>
        <v>2.628176832854739</v>
      </c>
      <c r="AT122" s="384">
        <f>STDEV('Lab descriptors of grain qualit'!X121:AG121)</f>
        <v>0.1565353919026919</v>
      </c>
      <c r="AU122" s="159" t="s">
        <v>242</v>
      </c>
      <c r="AV122" s="179">
        <f>AVERAGE('Lab descriptors of grain qualit'!AI121:AR121)</f>
        <v>6.032</v>
      </c>
      <c r="AW122" s="180">
        <f>STDEV('Lab descriptors of grain qualit'!AI121:AR121)</f>
        <v>0.33212447465771616</v>
      </c>
      <c r="AX122" s="179">
        <f>AVERAGE('Lab descriptors of grain qualit'!AS121:BB121)</f>
        <v>2.817</v>
      </c>
      <c r="AY122" s="180">
        <f>STDEV('Lab descriptors of grain qualit'!AS121:BB121)</f>
        <v>0.07318925239859198</v>
      </c>
      <c r="AZ122" s="179">
        <f>AVERAGE('Lab descriptors of grain qualit'!BC121:BL121)</f>
        <v>2.142814132932056</v>
      </c>
      <c r="BA122" s="180">
        <f>STDEV('Lab descriptors of grain qualit'!BC121:BL121)</f>
        <v>0.13331877806832562</v>
      </c>
      <c r="BB122" s="183" t="str">
        <f t="shared" si="16"/>
        <v>Long A</v>
      </c>
      <c r="BC122" s="166">
        <f>'Lab descriptors of grain qualit'!BM121</f>
        <v>26.76</v>
      </c>
      <c r="BD122" s="184">
        <f>'Lab descriptors of grain qualit'!BO121</f>
        <v>0.6782511210762331</v>
      </c>
      <c r="BE122" s="184">
        <f>'Lab descriptors of grain qualit'!BQ121</f>
        <v>0.6505979073243647</v>
      </c>
      <c r="BF122" s="159" t="s">
        <v>242</v>
      </c>
      <c r="BG122" s="386">
        <v>17.68</v>
      </c>
      <c r="BH122" s="185"/>
      <c r="BI122" s="186" t="str">
        <f t="shared" si="17"/>
        <v>High</v>
      </c>
      <c r="BJ122" s="186">
        <f>'Lab descriptors of grain qu (2)'!E121</f>
        <v>6</v>
      </c>
      <c r="BK122" s="187">
        <f>'Lab descriptors of grain qu (2)'!F121</f>
        <v>0.82</v>
      </c>
      <c r="BL122" s="186">
        <f>'Lab descriptors of grain qu (2)'!G121</f>
        <v>9</v>
      </c>
      <c r="BM122" s="188">
        <f>'Lab descriptors of grain qu (2)'!H121</f>
        <v>5</v>
      </c>
      <c r="BN122" s="189">
        <f>'Lab descriptors of grain qu (2)'!I121</f>
        <v>9</v>
      </c>
      <c r="BO122" s="190">
        <f>'Lab descriptors of grain qu (2)'!K121</f>
        <v>0</v>
      </c>
      <c r="BP122" s="173"/>
      <c r="BQ122" s="477" t="s">
        <v>242</v>
      </c>
      <c r="BR122" s="480">
        <v>7.5</v>
      </c>
      <c r="BS122" s="483" t="s">
        <v>408</v>
      </c>
    </row>
    <row r="123" spans="1:71" ht="21.75" thickBot="1">
      <c r="A123" s="198">
        <v>1708</v>
      </c>
      <c r="B123" s="159" t="s">
        <v>243</v>
      </c>
      <c r="C123" s="160"/>
      <c r="D123" s="161"/>
      <c r="E123" s="162">
        <f>'Agronomic traits'!F122</f>
        <v>97</v>
      </c>
      <c r="F123" s="162">
        <f>'Agronomic traits'!H122</f>
        <v>150</v>
      </c>
      <c r="G123" s="163">
        <f>'Agronomic traits'!I122</f>
        <v>88</v>
      </c>
      <c r="H123" s="163">
        <f>'Agronomic traits'!J122</f>
        <v>9</v>
      </c>
      <c r="I123" s="163">
        <f>'Agronomic traits'!K122</f>
        <v>2</v>
      </c>
      <c r="J123" s="159">
        <f>'Agronomic traits'!L122</f>
        <v>4</v>
      </c>
      <c r="K123" s="164" t="s">
        <v>243</v>
      </c>
      <c r="L123" s="165">
        <f>'Field plant descriptors'!C122</f>
        <v>2</v>
      </c>
      <c r="M123" s="162"/>
      <c r="N123" s="162">
        <f>'Field plant descriptors'!E122</f>
        <v>4</v>
      </c>
      <c r="O123" s="162">
        <f>'Field plant descriptors'!F122</f>
        <v>3</v>
      </c>
      <c r="P123" s="166">
        <f>AVERAGE('Field plant descriptors'!G122:L122)</f>
        <v>21.483333333333334</v>
      </c>
      <c r="Q123" s="167">
        <f>STDEV('Field plant descriptors'!G122:L122)</f>
        <v>2.2833454987510193</v>
      </c>
      <c r="R123" s="168">
        <f>'Field plant descriptors'!M122</f>
        <v>5</v>
      </c>
      <c r="S123" s="169" t="str">
        <f>'Diseases (blast)'!C133</f>
        <v>N/A</v>
      </c>
      <c r="T123" s="170" t="str">
        <f>'Diseases (blast)'!D133</f>
        <v>N/A</v>
      </c>
      <c r="U123" s="171"/>
      <c r="V123" s="171"/>
      <c r="W123" s="171"/>
      <c r="X123" s="172"/>
      <c r="Y123" s="159" t="s">
        <v>243</v>
      </c>
      <c r="Z123" s="173"/>
      <c r="AA123" s="174"/>
      <c r="AB123" s="175"/>
      <c r="AC123" s="176"/>
      <c r="AD123" s="177">
        <f>'Field grain descriptors'!C122</f>
        <v>1</v>
      </c>
      <c r="AE123" s="178" t="str">
        <f t="shared" si="11"/>
        <v>Absent</v>
      </c>
      <c r="AF123" s="177">
        <f>'Field grain descriptors'!D122</f>
        <v>9</v>
      </c>
      <c r="AG123" s="179">
        <f>AVERAGE('Field grain descriptors'!E122:H122)</f>
        <v>3.2600000000000002</v>
      </c>
      <c r="AH123" s="180">
        <f>STDEV('Field grain descriptors'!E122:H122)</f>
        <v>0.32883633213702584</v>
      </c>
      <c r="AI123" s="181" t="str">
        <f t="shared" si="12"/>
        <v>Long</v>
      </c>
      <c r="AJ123" s="169">
        <f>'Field grain descriptors'!I122</f>
        <v>1</v>
      </c>
      <c r="AK123" s="159" t="s">
        <v>243</v>
      </c>
      <c r="AL123" s="177">
        <f>'Lab descriptors of grain qualit'!C122</f>
        <v>3</v>
      </c>
      <c r="AM123" s="182" t="str">
        <f t="shared" si="13"/>
        <v>Gold</v>
      </c>
      <c r="AN123" s="179">
        <f>AVERAGE('Lab descriptors of grain qualit'!D122:M122)</f>
        <v>9.619</v>
      </c>
      <c r="AO123" s="180">
        <f>STDEV('Lab descriptors of grain qualit'!D122:M122)</f>
        <v>0.47699173065275446</v>
      </c>
      <c r="AP123" s="179">
        <f>AVERAGE('Lab descriptors of grain qualit'!N122:W122)</f>
        <v>3.126</v>
      </c>
      <c r="AQ123" s="182">
        <f>STDEV('Lab descriptors of grain qualit'!N122:W122)</f>
        <v>0.05059644256269409</v>
      </c>
      <c r="AR123" s="383">
        <f t="shared" si="18"/>
        <v>3.0770953294945618</v>
      </c>
      <c r="AS123" s="180">
        <f>AVERAGE('Lab descriptors of grain qualit'!X122:AG122)</f>
        <v>3.0777870873057824</v>
      </c>
      <c r="AT123" s="384">
        <f>STDEV('Lab descriptors of grain qualit'!X122:AG122)</f>
        <v>0.15979685895571305</v>
      </c>
      <c r="AU123" s="159" t="s">
        <v>243</v>
      </c>
      <c r="AV123" s="179">
        <f>AVERAGE('Lab descriptors of grain qualit'!AI122:AR122)</f>
        <v>7.0009999999999994</v>
      </c>
      <c r="AW123" s="180">
        <f>STDEV('Lab descriptors of grain qualit'!AI122:AR122)</f>
        <v>0.21036740347413124</v>
      </c>
      <c r="AX123" s="179">
        <f>AVERAGE('Lab descriptors of grain qualit'!AS122:BB122)</f>
        <v>2.6740000000000004</v>
      </c>
      <c r="AY123" s="180">
        <f>STDEV('Lab descriptors of grain qualit'!AS122:BB122)</f>
        <v>0.039777157040470114</v>
      </c>
      <c r="AZ123" s="179">
        <f>AVERAGE('Lab descriptors of grain qualit'!BC122:BL122)</f>
        <v>2.6184042462701673</v>
      </c>
      <c r="BA123" s="180">
        <f>STDEV('Lab descriptors of grain qualit'!BC122:BL122)</f>
        <v>0.0776975870169388</v>
      </c>
      <c r="BB123" s="183" t="str">
        <f t="shared" si="16"/>
        <v>Long A</v>
      </c>
      <c r="BC123" s="166">
        <f>'Lab descriptors of grain qualit'!BM122</f>
        <v>28.42</v>
      </c>
      <c r="BD123" s="184">
        <f>'Lab descriptors of grain qualit'!BO122</f>
        <v>0.6875439831104855</v>
      </c>
      <c r="BE123" s="184">
        <f>'Lab descriptors of grain qualit'!BQ122</f>
        <v>0.6611541168191414</v>
      </c>
      <c r="BF123" s="159" t="s">
        <v>243</v>
      </c>
      <c r="BG123" s="386">
        <v>18.15</v>
      </c>
      <c r="BH123" s="185"/>
      <c r="BI123" s="186" t="str">
        <f t="shared" si="17"/>
        <v>High</v>
      </c>
      <c r="BJ123" s="186">
        <f>'Lab descriptors of grain qu (2)'!E122</f>
        <v>6</v>
      </c>
      <c r="BK123" s="187">
        <f>'Lab descriptors of grain qu (2)'!F122</f>
        <v>0.44</v>
      </c>
      <c r="BL123" s="186">
        <f>'Lab descriptors of grain qu (2)'!G122</f>
        <v>5</v>
      </c>
      <c r="BM123" s="188">
        <f>'Lab descriptors of grain qu (2)'!H122</f>
        <v>5</v>
      </c>
      <c r="BN123" s="189">
        <f>'Lab descriptors of grain qu (2)'!I122</f>
        <v>5</v>
      </c>
      <c r="BO123" s="190">
        <f>'Lab descriptors of grain qu (2)'!K122</f>
        <v>0</v>
      </c>
      <c r="BP123" s="173"/>
      <c r="BQ123" s="477" t="s">
        <v>243</v>
      </c>
      <c r="BR123" s="481">
        <v>2.5</v>
      </c>
      <c r="BS123" s="484"/>
    </row>
    <row r="124" spans="2:69" ht="18.75">
      <c r="B124" s="32" t="s">
        <v>113</v>
      </c>
      <c r="C124" s="199" t="e">
        <f>AVERAGE(C4:C123)</f>
        <v>#DIV/0!</v>
      </c>
      <c r="D124" s="199" t="e">
        <f aca="true" t="shared" si="19" ref="D124:BC124">AVERAGE(D4:D123)</f>
        <v>#DIV/0!</v>
      </c>
      <c r="E124" s="199">
        <f t="shared" si="19"/>
        <v>94.66949152542372</v>
      </c>
      <c r="F124" s="199">
        <f t="shared" si="19"/>
        <v>137.36607142857142</v>
      </c>
      <c r="G124" s="199">
        <f t="shared" si="19"/>
        <v>71.64166666666667</v>
      </c>
      <c r="H124" s="199">
        <f t="shared" si="19"/>
        <v>8.875</v>
      </c>
      <c r="I124" s="199">
        <f t="shared" si="19"/>
        <v>3.5166666666666666</v>
      </c>
      <c r="J124" s="199">
        <f t="shared" si="19"/>
        <v>2.808333333333333</v>
      </c>
      <c r="K124" s="32" t="s">
        <v>113</v>
      </c>
      <c r="L124" s="199">
        <f t="shared" si="19"/>
        <v>2.6</v>
      </c>
      <c r="M124" s="199" t="e">
        <f t="shared" si="19"/>
        <v>#DIV/0!</v>
      </c>
      <c r="N124" s="199">
        <f t="shared" si="19"/>
        <v>3.2666666666666666</v>
      </c>
      <c r="O124" s="199">
        <f t="shared" si="19"/>
        <v>2.4916666666666667</v>
      </c>
      <c r="P124" s="199">
        <f t="shared" si="19"/>
        <v>17.348930555555555</v>
      </c>
      <c r="Q124" s="199" t="e">
        <f t="shared" si="19"/>
        <v>#DIV/0!</v>
      </c>
      <c r="R124" s="199">
        <f t="shared" si="19"/>
        <v>4.558333333333334</v>
      </c>
      <c r="U124" s="199" t="e">
        <f t="shared" si="19"/>
        <v>#DIV/0!</v>
      </c>
      <c r="V124" s="199" t="e">
        <f t="shared" si="19"/>
        <v>#DIV/0!</v>
      </c>
      <c r="W124" s="199" t="e">
        <f t="shared" si="19"/>
        <v>#DIV/0!</v>
      </c>
      <c r="X124" s="199" t="e">
        <f t="shared" si="19"/>
        <v>#DIV/0!</v>
      </c>
      <c r="Y124" s="32" t="s">
        <v>113</v>
      </c>
      <c r="Z124" s="199" t="e">
        <f t="shared" si="19"/>
        <v>#DIV/0!</v>
      </c>
      <c r="AA124" s="199" t="e">
        <f t="shared" si="19"/>
        <v>#DIV/0!</v>
      </c>
      <c r="AB124" s="199" t="e">
        <f t="shared" si="19"/>
        <v>#DIV/0!</v>
      </c>
      <c r="AC124" s="199" t="e">
        <f t="shared" si="19"/>
        <v>#DIV/0!</v>
      </c>
      <c r="AD124" s="199">
        <f t="shared" si="19"/>
        <v>2.9583333333333335</v>
      </c>
      <c r="AE124" s="199" t="e">
        <f t="shared" si="19"/>
        <v>#DIV/0!</v>
      </c>
      <c r="AF124" s="199">
        <f t="shared" si="19"/>
        <v>4.366666666666666</v>
      </c>
      <c r="AG124" s="199">
        <f t="shared" si="19"/>
        <v>2.6651739130434784</v>
      </c>
      <c r="AH124" s="199">
        <f t="shared" si="19"/>
        <v>0.38330002564279136</v>
      </c>
      <c r="AI124" s="199" t="e">
        <f t="shared" si="19"/>
        <v>#DIV/0!</v>
      </c>
      <c r="AJ124" s="201">
        <f t="shared" si="19"/>
        <v>1.7583333333333333</v>
      </c>
      <c r="AK124" s="32" t="s">
        <v>113</v>
      </c>
      <c r="AL124" s="199">
        <f t="shared" si="19"/>
        <v>2.3513513513513513</v>
      </c>
      <c r="AM124" s="199"/>
      <c r="AN124" s="199">
        <f t="shared" si="19"/>
        <v>8.909068965517239</v>
      </c>
      <c r="AO124" s="199">
        <f t="shared" si="19"/>
        <v>0.3991495928565795</v>
      </c>
      <c r="AP124" s="199">
        <f t="shared" si="19"/>
        <v>3.028741379310346</v>
      </c>
      <c r="AQ124" s="199">
        <f t="shared" si="19"/>
        <v>0.12317230262284826</v>
      </c>
      <c r="AR124" s="199">
        <f t="shared" si="19"/>
        <v>3.017084893659736</v>
      </c>
      <c r="AS124" s="199">
        <f t="shared" si="19"/>
        <v>3.0211693161619224</v>
      </c>
      <c r="AT124" s="199">
        <f t="shared" si="19"/>
        <v>0.16228707755146635</v>
      </c>
      <c r="AU124" s="32" t="s">
        <v>113</v>
      </c>
      <c r="AV124" s="199">
        <f t="shared" si="19"/>
        <v>6.46495663716814</v>
      </c>
      <c r="AW124" s="199">
        <f t="shared" si="19"/>
        <v>0.27101152797380007</v>
      </c>
      <c r="AX124" s="199">
        <f t="shared" si="19"/>
        <v>2.5919185840707963</v>
      </c>
      <c r="AY124" s="199">
        <f t="shared" si="19"/>
        <v>0.08845923892114986</v>
      </c>
      <c r="AZ124" s="199">
        <f t="shared" si="19"/>
        <v>2.574225819926968</v>
      </c>
      <c r="BA124" s="199">
        <f t="shared" si="19"/>
        <v>0.1203526538497404</v>
      </c>
      <c r="BB124" s="202"/>
      <c r="BC124" s="199">
        <f t="shared" si="19"/>
        <v>26.9370796460177</v>
      </c>
      <c r="BD124" s="203">
        <f aca="true" t="shared" si="20" ref="BD124:BP124">AVERAGE(BD4:BD123)</f>
        <v>0.6972459098833859</v>
      </c>
      <c r="BE124" s="203">
        <f t="shared" si="20"/>
        <v>0.6199455366802366</v>
      </c>
      <c r="BF124" s="32" t="s">
        <v>113</v>
      </c>
      <c r="BG124" s="199">
        <f t="shared" si="20"/>
        <v>19.905384615384612</v>
      </c>
      <c r="BH124" s="199" t="e">
        <f t="shared" si="20"/>
        <v>#DIV/0!</v>
      </c>
      <c r="BI124" s="201"/>
      <c r="BJ124" s="201">
        <f t="shared" si="20"/>
        <v>5.724770642201835</v>
      </c>
      <c r="BK124" s="199">
        <f t="shared" si="20"/>
        <v>0.6462831858407082</v>
      </c>
      <c r="BL124" s="201"/>
      <c r="BM124" s="199">
        <f t="shared" si="20"/>
        <v>4.823008849557522</v>
      </c>
      <c r="BN124" s="199">
        <f t="shared" si="20"/>
        <v>4.04424778761062</v>
      </c>
      <c r="BO124" s="199">
        <f t="shared" si="20"/>
        <v>0.18584070796460178</v>
      </c>
      <c r="BP124" s="199" t="e">
        <f t="shared" si="20"/>
        <v>#DIV/0!</v>
      </c>
      <c r="BQ124" s="32" t="s">
        <v>113</v>
      </c>
    </row>
    <row r="125" spans="2:69" ht="18.75">
      <c r="B125" s="32" t="s">
        <v>244</v>
      </c>
      <c r="C125" s="199">
        <f>MAX(C4:C123)</f>
        <v>0</v>
      </c>
      <c r="D125" s="199">
        <f aca="true" t="shared" si="21" ref="D125:BC125">MAX(D4:D123)</f>
        <v>0</v>
      </c>
      <c r="E125" s="201">
        <f>MAX(E4:E123)</f>
        <v>128</v>
      </c>
      <c r="F125" s="199">
        <f t="shared" si="21"/>
        <v>157</v>
      </c>
      <c r="G125" s="199">
        <f t="shared" si="21"/>
        <v>107</v>
      </c>
      <c r="H125" s="199">
        <f t="shared" si="21"/>
        <v>9</v>
      </c>
      <c r="I125" s="199">
        <f t="shared" si="21"/>
        <v>8</v>
      </c>
      <c r="J125" s="199">
        <f t="shared" si="21"/>
        <v>6</v>
      </c>
      <c r="K125" s="32" t="s">
        <v>244</v>
      </c>
      <c r="L125" s="199">
        <f t="shared" si="21"/>
        <v>7</v>
      </c>
      <c r="M125" s="199">
        <f t="shared" si="21"/>
        <v>0</v>
      </c>
      <c r="N125" s="199">
        <f t="shared" si="21"/>
        <v>7</v>
      </c>
      <c r="O125" s="199">
        <f t="shared" si="21"/>
        <v>5</v>
      </c>
      <c r="P125" s="199">
        <f t="shared" si="21"/>
        <v>23.21666666666667</v>
      </c>
      <c r="Q125" s="199" t="e">
        <f t="shared" si="21"/>
        <v>#DIV/0!</v>
      </c>
      <c r="R125" s="199">
        <f t="shared" si="21"/>
        <v>9</v>
      </c>
      <c r="U125" s="199">
        <f t="shared" si="21"/>
        <v>0</v>
      </c>
      <c r="V125" s="199">
        <f t="shared" si="21"/>
        <v>0</v>
      </c>
      <c r="W125" s="199">
        <f t="shared" si="21"/>
        <v>0</v>
      </c>
      <c r="X125" s="199">
        <f t="shared" si="21"/>
        <v>0</v>
      </c>
      <c r="Y125" s="32" t="s">
        <v>244</v>
      </c>
      <c r="Z125" s="199">
        <f>MAX(Z4:Z123)</f>
        <v>0</v>
      </c>
      <c r="AA125" s="199">
        <f t="shared" si="21"/>
        <v>0</v>
      </c>
      <c r="AB125" s="199">
        <f t="shared" si="21"/>
        <v>0</v>
      </c>
      <c r="AC125" s="199">
        <f t="shared" si="21"/>
        <v>0</v>
      </c>
      <c r="AD125" s="199">
        <f t="shared" si="21"/>
        <v>9</v>
      </c>
      <c r="AE125" s="199">
        <f t="shared" si="21"/>
        <v>0</v>
      </c>
      <c r="AF125" s="199">
        <f t="shared" si="21"/>
        <v>9</v>
      </c>
      <c r="AG125" s="199">
        <f t="shared" si="21"/>
        <v>7.155</v>
      </c>
      <c r="AH125" s="199">
        <f t="shared" si="21"/>
        <v>9.631131813032153</v>
      </c>
      <c r="AI125" s="199">
        <f t="shared" si="21"/>
        <v>0</v>
      </c>
      <c r="AJ125" s="201">
        <f t="shared" si="21"/>
        <v>9</v>
      </c>
      <c r="AK125" s="32" t="s">
        <v>244</v>
      </c>
      <c r="AL125" s="199">
        <f t="shared" si="21"/>
        <v>3</v>
      </c>
      <c r="AM125" s="199"/>
      <c r="AN125" s="199">
        <f t="shared" si="21"/>
        <v>12.062999999999999</v>
      </c>
      <c r="AO125" s="199">
        <f t="shared" si="21"/>
        <v>1.2129307940320164</v>
      </c>
      <c r="AP125" s="199">
        <f t="shared" si="21"/>
        <v>3.8280000000000003</v>
      </c>
      <c r="AQ125" s="199">
        <f t="shared" si="21"/>
        <v>0.2291166612109399</v>
      </c>
      <c r="AR125" s="199">
        <f t="shared" si="21"/>
        <v>4.279189686924494</v>
      </c>
      <c r="AS125" s="199">
        <f t="shared" si="21"/>
        <v>4.286932907480658</v>
      </c>
      <c r="AT125" s="199">
        <f t="shared" si="21"/>
        <v>0.4403587999763412</v>
      </c>
      <c r="AU125" s="32" t="s">
        <v>244</v>
      </c>
      <c r="AV125" s="199">
        <f t="shared" si="21"/>
        <v>8.388000000000002</v>
      </c>
      <c r="AW125" s="199">
        <f t="shared" si="21"/>
        <v>0.6953304570090626</v>
      </c>
      <c r="AX125" s="199">
        <f t="shared" si="21"/>
        <v>3.258</v>
      </c>
      <c r="AY125" s="199">
        <f t="shared" si="21"/>
        <v>0.2053317099502865</v>
      </c>
      <c r="AZ125" s="202">
        <f>MAX(AZ4:AZ123)</f>
        <v>3.604380596445965</v>
      </c>
      <c r="BA125" s="199">
        <f t="shared" si="21"/>
        <v>0.4807135754252531</v>
      </c>
      <c r="BB125" s="202"/>
      <c r="BC125" s="199">
        <f t="shared" si="21"/>
        <v>41.49</v>
      </c>
      <c r="BD125" s="203">
        <f aca="true" t="shared" si="22" ref="BD125:BP125">MAX(BD4:BD123)</f>
        <v>0.7302925136341101</v>
      </c>
      <c r="BE125" s="203">
        <f t="shared" si="22"/>
        <v>0.7157738095238095</v>
      </c>
      <c r="BF125" s="32" t="s">
        <v>244</v>
      </c>
      <c r="BG125" s="199">
        <f t="shared" si="22"/>
        <v>25.97</v>
      </c>
      <c r="BH125" s="199">
        <f t="shared" si="22"/>
        <v>0</v>
      </c>
      <c r="BI125" s="201"/>
      <c r="BJ125" s="201">
        <f t="shared" si="22"/>
        <v>7</v>
      </c>
      <c r="BK125" s="199">
        <f t="shared" si="22"/>
        <v>1</v>
      </c>
      <c r="BL125" s="201"/>
      <c r="BM125" s="199">
        <f t="shared" si="22"/>
        <v>9</v>
      </c>
      <c r="BN125" s="199">
        <f t="shared" si="22"/>
        <v>9</v>
      </c>
      <c r="BO125" s="199">
        <f t="shared" si="22"/>
        <v>9</v>
      </c>
      <c r="BP125" s="199">
        <f t="shared" si="22"/>
        <v>0</v>
      </c>
      <c r="BQ125" s="32" t="s">
        <v>244</v>
      </c>
    </row>
    <row r="126" spans="2:69" ht="18.75">
      <c r="B126" s="32" t="s">
        <v>245</v>
      </c>
      <c r="C126" s="199">
        <f>MIN(C4:C123)</f>
        <v>0</v>
      </c>
      <c r="D126" s="199">
        <f aca="true" t="shared" si="23" ref="D126:BC126">MIN(D4:D123)</f>
        <v>0</v>
      </c>
      <c r="E126" s="201">
        <f>MIN(E4:E123)</f>
        <v>76</v>
      </c>
      <c r="F126" s="199">
        <f t="shared" si="23"/>
        <v>119</v>
      </c>
      <c r="G126" s="199">
        <f t="shared" si="23"/>
        <v>44</v>
      </c>
      <c r="H126" s="199">
        <f t="shared" si="23"/>
        <v>0</v>
      </c>
      <c r="I126" s="199">
        <f t="shared" si="23"/>
        <v>0</v>
      </c>
      <c r="J126" s="199">
        <f t="shared" si="23"/>
        <v>0</v>
      </c>
      <c r="K126" s="32" t="s">
        <v>245</v>
      </c>
      <c r="L126" s="199">
        <f t="shared" si="23"/>
        <v>0</v>
      </c>
      <c r="M126" s="199">
        <f t="shared" si="23"/>
        <v>0</v>
      </c>
      <c r="N126" s="199">
        <f t="shared" si="23"/>
        <v>0</v>
      </c>
      <c r="O126" s="199">
        <f t="shared" si="23"/>
        <v>0</v>
      </c>
      <c r="P126" s="199">
        <f t="shared" si="23"/>
        <v>11.800000000000002</v>
      </c>
      <c r="Q126" s="199" t="e">
        <f t="shared" si="23"/>
        <v>#DIV/0!</v>
      </c>
      <c r="R126" s="199">
        <f t="shared" si="23"/>
        <v>0</v>
      </c>
      <c r="U126" s="199">
        <f t="shared" si="23"/>
        <v>0</v>
      </c>
      <c r="V126" s="199">
        <f t="shared" si="23"/>
        <v>0</v>
      </c>
      <c r="W126" s="199">
        <f t="shared" si="23"/>
        <v>0</v>
      </c>
      <c r="X126" s="199">
        <f t="shared" si="23"/>
        <v>0</v>
      </c>
      <c r="Y126" s="32" t="s">
        <v>245</v>
      </c>
      <c r="Z126" s="199">
        <f t="shared" si="23"/>
        <v>0</v>
      </c>
      <c r="AA126" s="199">
        <f t="shared" si="23"/>
        <v>0</v>
      </c>
      <c r="AB126" s="199">
        <f t="shared" si="23"/>
        <v>0</v>
      </c>
      <c r="AC126" s="199">
        <f t="shared" si="23"/>
        <v>0</v>
      </c>
      <c r="AD126" s="199">
        <f t="shared" si="23"/>
        <v>0</v>
      </c>
      <c r="AE126" s="199">
        <f t="shared" si="23"/>
        <v>0</v>
      </c>
      <c r="AF126" s="199">
        <f t="shared" si="23"/>
        <v>1</v>
      </c>
      <c r="AG126" s="199">
        <f t="shared" si="23"/>
        <v>1.99</v>
      </c>
      <c r="AH126" s="199">
        <f t="shared" si="23"/>
        <v>0.04991659710623977</v>
      </c>
      <c r="AI126" s="199">
        <f t="shared" si="23"/>
        <v>0</v>
      </c>
      <c r="AJ126" s="201">
        <f t="shared" si="23"/>
        <v>1</v>
      </c>
      <c r="AK126" s="32" t="s">
        <v>245</v>
      </c>
      <c r="AL126" s="199">
        <f t="shared" si="23"/>
        <v>1</v>
      </c>
      <c r="AM126" s="199"/>
      <c r="AN126" s="199">
        <f t="shared" si="23"/>
        <v>6.67</v>
      </c>
      <c r="AO126" s="199">
        <f t="shared" si="23"/>
        <v>0.021213203435595972</v>
      </c>
      <c r="AP126" s="199">
        <f t="shared" si="23"/>
        <v>2.3129999999999997</v>
      </c>
      <c r="AQ126" s="199">
        <f t="shared" si="23"/>
        <v>0.05055250296034723</v>
      </c>
      <c r="AR126" s="199">
        <f t="shared" si="23"/>
        <v>1.8814002089864157</v>
      </c>
      <c r="AS126" s="199">
        <f t="shared" si="23"/>
        <v>1.8828825079866807</v>
      </c>
      <c r="AT126" s="199">
        <f t="shared" si="23"/>
        <v>0.05394607737271405</v>
      </c>
      <c r="AU126" s="32" t="s">
        <v>245</v>
      </c>
      <c r="AV126" s="199">
        <f t="shared" si="23"/>
        <v>4.794</v>
      </c>
      <c r="AW126" s="199">
        <f t="shared" si="23"/>
        <v>0.07803845206046861</v>
      </c>
      <c r="AX126" s="199">
        <f t="shared" si="23"/>
        <v>2.0090000000000003</v>
      </c>
      <c r="AY126" s="199">
        <f t="shared" si="23"/>
        <v>0.039777157040470114</v>
      </c>
      <c r="AZ126" s="199">
        <f t="shared" si="23"/>
        <v>1.5523771024736057</v>
      </c>
      <c r="BA126" s="199">
        <f t="shared" si="23"/>
        <v>0.036101394660296215</v>
      </c>
      <c r="BB126" s="202"/>
      <c r="BC126" s="199">
        <f t="shared" si="23"/>
        <v>13.68</v>
      </c>
      <c r="BD126" s="203">
        <f aca="true" t="shared" si="24" ref="BD126:BP126">MIN(BD4:BD123)</f>
        <v>0.6383502616189596</v>
      </c>
      <c r="BE126" s="203">
        <f t="shared" si="24"/>
        <v>0.3682815136177392</v>
      </c>
      <c r="BF126" s="32" t="s">
        <v>245</v>
      </c>
      <c r="BG126" s="199">
        <f t="shared" si="24"/>
        <v>4.71</v>
      </c>
      <c r="BH126" s="199">
        <f t="shared" si="24"/>
        <v>0</v>
      </c>
      <c r="BI126" s="201"/>
      <c r="BJ126" s="201">
        <f t="shared" si="24"/>
        <v>1</v>
      </c>
      <c r="BK126" s="199">
        <f t="shared" si="24"/>
        <v>0.03</v>
      </c>
      <c r="BL126" s="201"/>
      <c r="BM126" s="199">
        <f t="shared" si="24"/>
        <v>0</v>
      </c>
      <c r="BN126" s="199">
        <f t="shared" si="24"/>
        <v>0</v>
      </c>
      <c r="BO126" s="199">
        <f t="shared" si="24"/>
        <v>0</v>
      </c>
      <c r="BP126" s="199">
        <f t="shared" si="24"/>
        <v>0</v>
      </c>
      <c r="BQ126" s="32" t="s">
        <v>245</v>
      </c>
    </row>
    <row r="127" ht="15.75">
      <c r="BI127" s="200"/>
    </row>
    <row r="128" ht="15.75">
      <c r="BI128" s="200"/>
    </row>
    <row r="129" ht="15.75">
      <c r="BI129" s="200"/>
    </row>
    <row r="130" ht="15.75">
      <c r="BI130" s="200"/>
    </row>
    <row r="131" ht="15.75">
      <c r="BI131" s="200"/>
    </row>
    <row r="132" ht="15.75">
      <c r="BI132" s="200"/>
    </row>
    <row r="133" ht="15.75">
      <c r="BI133" s="200"/>
    </row>
    <row r="134" ht="15.75">
      <c r="BI134" s="200"/>
    </row>
    <row r="135" ht="15.75">
      <c r="BI135" s="200"/>
    </row>
    <row r="136" ht="15.75">
      <c r="BI136" s="200"/>
    </row>
    <row r="137" ht="15.75">
      <c r="BI137" s="200"/>
    </row>
    <row r="138" ht="15.75">
      <c r="BI138" s="200"/>
    </row>
    <row r="139" ht="15.75">
      <c r="BI139" s="200"/>
    </row>
    <row r="140" ht="15.75">
      <c r="BI140" s="200"/>
    </row>
    <row r="141" ht="15.75">
      <c r="BI141" s="200"/>
    </row>
    <row r="142" ht="15.75">
      <c r="BI142" s="200"/>
    </row>
    <row r="143" ht="15.75">
      <c r="BI143" s="200"/>
    </row>
    <row r="144" ht="15.75">
      <c r="BI144" s="200"/>
    </row>
    <row r="145" ht="15.75">
      <c r="BI145" s="200"/>
    </row>
    <row r="146" ht="15.75">
      <c r="BI146" s="200"/>
    </row>
    <row r="147" ht="15.75">
      <c r="BI147" s="200"/>
    </row>
    <row r="148" ht="15.75">
      <c r="BI148" s="200"/>
    </row>
    <row r="149" ht="15.75">
      <c r="BI149" s="200"/>
    </row>
    <row r="150" ht="15.75">
      <c r="BI150" s="200"/>
    </row>
    <row r="151" ht="15.75">
      <c r="BI151" s="200"/>
    </row>
    <row r="152" ht="15.75">
      <c r="BI152" s="200"/>
    </row>
    <row r="153" ht="15.75">
      <c r="BI153" s="200"/>
    </row>
    <row r="154" ht="15.75">
      <c r="BI154" s="200"/>
    </row>
    <row r="155" ht="15.75">
      <c r="BI155" s="200"/>
    </row>
    <row r="156" ht="15.75">
      <c r="BI156" s="200"/>
    </row>
    <row r="157" ht="15.75">
      <c r="BI157" s="200"/>
    </row>
    <row r="158" ht="15.75">
      <c r="BI158" s="200"/>
    </row>
    <row r="159" ht="15.75">
      <c r="BI159" s="200"/>
    </row>
    <row r="160" ht="15.75">
      <c r="BI160" s="200"/>
    </row>
    <row r="161" ht="15.75">
      <c r="BI161" s="200"/>
    </row>
    <row r="162" ht="15.75">
      <c r="BI162" s="200"/>
    </row>
    <row r="163" ht="15.75">
      <c r="BI163" s="200"/>
    </row>
    <row r="164" ht="15.75">
      <c r="BI164" s="200"/>
    </row>
    <row r="165" ht="15.75">
      <c r="BI165" s="200"/>
    </row>
    <row r="166" ht="15.75">
      <c r="BI166" s="200"/>
    </row>
    <row r="167" ht="15.75">
      <c r="BI167" s="200"/>
    </row>
    <row r="168" ht="15.75">
      <c r="BI168" s="200"/>
    </row>
    <row r="169" ht="15.75">
      <c r="BI169" s="200"/>
    </row>
    <row r="170" ht="15.75">
      <c r="BI170" s="200"/>
    </row>
    <row r="171" ht="15.75">
      <c r="BI171" s="200"/>
    </row>
    <row r="172" ht="15.75">
      <c r="BI172" s="200"/>
    </row>
    <row r="173" ht="15.75">
      <c r="BI173" s="200"/>
    </row>
    <row r="174" ht="15.75">
      <c r="BI174" s="200"/>
    </row>
    <row r="175" ht="15.75">
      <c r="BI175" s="200"/>
    </row>
    <row r="176" ht="15.75">
      <c r="BI176" s="200"/>
    </row>
    <row r="177" ht="15.75">
      <c r="BI177" s="200"/>
    </row>
    <row r="178" ht="15.75">
      <c r="BI178" s="200"/>
    </row>
    <row r="179" ht="15.75">
      <c r="BI179" s="200"/>
    </row>
    <row r="180" ht="15.75">
      <c r="BI180" s="200"/>
    </row>
    <row r="181" ht="15.75">
      <c r="BI181" s="200"/>
    </row>
    <row r="182" ht="15.75">
      <c r="BI182" s="200"/>
    </row>
    <row r="183" ht="15.75">
      <c r="BI183" s="200"/>
    </row>
    <row r="184" ht="15.75">
      <c r="BI184" s="200"/>
    </row>
    <row r="185" ht="15.75">
      <c r="BI185" s="200"/>
    </row>
    <row r="186" ht="15.75">
      <c r="BI186" s="200"/>
    </row>
    <row r="187" ht="15.75">
      <c r="BI187" s="200"/>
    </row>
    <row r="188" ht="15.75">
      <c r="BI188" s="200"/>
    </row>
    <row r="189" ht="15.75">
      <c r="BI189" s="200"/>
    </row>
    <row r="190" ht="15.75">
      <c r="BI190" s="200"/>
    </row>
    <row r="191" ht="15.75">
      <c r="BI191" s="200"/>
    </row>
    <row r="192" ht="15.75">
      <c r="BI192" s="200"/>
    </row>
    <row r="193" ht="15.75">
      <c r="BI193" s="200"/>
    </row>
    <row r="194" ht="15.75">
      <c r="BI194" s="200"/>
    </row>
    <row r="195" ht="15.75">
      <c r="BI195" s="200"/>
    </row>
    <row r="196" ht="15.75">
      <c r="BI196" s="200"/>
    </row>
    <row r="197" ht="15.75">
      <c r="BI197" s="200"/>
    </row>
    <row r="198" ht="15.75">
      <c r="BI198" s="200"/>
    </row>
    <row r="199" ht="15.75">
      <c r="BI199" s="200"/>
    </row>
    <row r="200" ht="15.75">
      <c r="BI200" s="200"/>
    </row>
    <row r="201" ht="15.75">
      <c r="BI201" s="200"/>
    </row>
    <row r="202" ht="15.75">
      <c r="BI202" s="200"/>
    </row>
    <row r="203" ht="15.75">
      <c r="BI203" s="200"/>
    </row>
    <row r="204" ht="15.75">
      <c r="BI204" s="200"/>
    </row>
    <row r="205" ht="15.75">
      <c r="BI205" s="200"/>
    </row>
    <row r="206" ht="15.75">
      <c r="BI206" s="200"/>
    </row>
    <row r="207" ht="15.75">
      <c r="BI207" s="200"/>
    </row>
    <row r="208" ht="15.75">
      <c r="BI208" s="200"/>
    </row>
    <row r="209" ht="15.75">
      <c r="BI209" s="200"/>
    </row>
    <row r="210" ht="15.75">
      <c r="BI210" s="200"/>
    </row>
    <row r="211" ht="15.75">
      <c r="BI211" s="200"/>
    </row>
    <row r="212" ht="15.75">
      <c r="BI212" s="200"/>
    </row>
    <row r="213" ht="15.75">
      <c r="BI213" s="200"/>
    </row>
    <row r="214" ht="15.75">
      <c r="BI214" s="200"/>
    </row>
    <row r="215" ht="15.75">
      <c r="BI215" s="200"/>
    </row>
    <row r="216" ht="15.75">
      <c r="BI216" s="200"/>
    </row>
    <row r="217" ht="15.75">
      <c r="BI217" s="200"/>
    </row>
    <row r="218" ht="15.75">
      <c r="BI218" s="200"/>
    </row>
    <row r="219" ht="15.75">
      <c r="BI219" s="200"/>
    </row>
    <row r="220" ht="15.75">
      <c r="BI220" s="200"/>
    </row>
    <row r="221" ht="15.75">
      <c r="BI221" s="200"/>
    </row>
    <row r="222" ht="15.75">
      <c r="BI222" s="200"/>
    </row>
    <row r="223" ht="15.75">
      <c r="BI223" s="200"/>
    </row>
    <row r="224" ht="15.75">
      <c r="BI224" s="200"/>
    </row>
    <row r="225" ht="15.75">
      <c r="BI225" s="200"/>
    </row>
    <row r="226" ht="15.75">
      <c r="BI226" s="200"/>
    </row>
    <row r="227" ht="15.75">
      <c r="BI227" s="200"/>
    </row>
    <row r="228" ht="15.75">
      <c r="BI228" s="200"/>
    </row>
    <row r="229" ht="15.75">
      <c r="BI229" s="200"/>
    </row>
    <row r="230" ht="15.75">
      <c r="BI230" s="200"/>
    </row>
    <row r="231" ht="15.75">
      <c r="BI231" s="200"/>
    </row>
    <row r="232" ht="15.75">
      <c r="BI232" s="200"/>
    </row>
    <row r="233" ht="15.75">
      <c r="BI233" s="200"/>
    </row>
    <row r="234" ht="15.75">
      <c r="BI234" s="200"/>
    </row>
    <row r="235" ht="15.75">
      <c r="BI235" s="200"/>
    </row>
    <row r="236" ht="15.75">
      <c r="BI236" s="200"/>
    </row>
    <row r="237" ht="15.75">
      <c r="BI237" s="200"/>
    </row>
    <row r="238" ht="15.75">
      <c r="BI238" s="200"/>
    </row>
    <row r="239" ht="15.75">
      <c r="BI239" s="200"/>
    </row>
    <row r="240" ht="15.75">
      <c r="BI240" s="200"/>
    </row>
    <row r="241" ht="15.75">
      <c r="BI241" s="200"/>
    </row>
    <row r="242" ht="15.75">
      <c r="BI242" s="200"/>
    </row>
    <row r="243" ht="15.75">
      <c r="BI243" s="200"/>
    </row>
    <row r="244" ht="15.75">
      <c r="BI244" s="200"/>
    </row>
    <row r="245" ht="15.75">
      <c r="BI245" s="200"/>
    </row>
    <row r="246" ht="15.75">
      <c r="BI246" s="200"/>
    </row>
    <row r="247" ht="15.75">
      <c r="BI247" s="200"/>
    </row>
    <row r="248" ht="15.75">
      <c r="BI248" s="200"/>
    </row>
    <row r="249" ht="15.75">
      <c r="BI249" s="200"/>
    </row>
    <row r="250" ht="15.75">
      <c r="BI250" s="200"/>
    </row>
    <row r="251" ht="15.75">
      <c r="BI251" s="200"/>
    </row>
    <row r="252" ht="15.75">
      <c r="BI252" s="200"/>
    </row>
    <row r="253" ht="15.75">
      <c r="BI253" s="200"/>
    </row>
    <row r="254" ht="15.75">
      <c r="BI254" s="200"/>
    </row>
    <row r="255" ht="15.75">
      <c r="BI255" s="200"/>
    </row>
    <row r="256" ht="15.75">
      <c r="BI256" s="200"/>
    </row>
    <row r="257" ht="15.75">
      <c r="BI257" s="200"/>
    </row>
    <row r="258" ht="15.75">
      <c r="BI258" s="200"/>
    </row>
    <row r="259" ht="15.75">
      <c r="BI259" s="200"/>
    </row>
    <row r="260" ht="15.75">
      <c r="BI260" s="200"/>
    </row>
    <row r="261" ht="15.75">
      <c r="BI261" s="200"/>
    </row>
    <row r="262" ht="15.75">
      <c r="BI262" s="200"/>
    </row>
    <row r="263" ht="15.75">
      <c r="BI263" s="200"/>
    </row>
    <row r="264" ht="15.75">
      <c r="BI264" s="200"/>
    </row>
    <row r="265" ht="15.75">
      <c r="BI265" s="200"/>
    </row>
    <row r="266" ht="15.75">
      <c r="BI266" s="200"/>
    </row>
    <row r="267" ht="15.75">
      <c r="BI267" s="200"/>
    </row>
    <row r="268" ht="15.75">
      <c r="BI268" s="200"/>
    </row>
    <row r="269" ht="15.75">
      <c r="BI269" s="200"/>
    </row>
    <row r="270" ht="15.75">
      <c r="BI270" s="200"/>
    </row>
    <row r="271" ht="15.75">
      <c r="BI271" s="200"/>
    </row>
    <row r="272" ht="15.75">
      <c r="BI272" s="200"/>
    </row>
    <row r="273" ht="15.75">
      <c r="BI273" s="200"/>
    </row>
    <row r="274" ht="15.75">
      <c r="BI274" s="200"/>
    </row>
    <row r="275" ht="15.75">
      <c r="BI275" s="200"/>
    </row>
    <row r="276" ht="15.75">
      <c r="BI276" s="200"/>
    </row>
    <row r="277" ht="15.75">
      <c r="BI277" s="200"/>
    </row>
    <row r="278" ht="15.75">
      <c r="BI278" s="200"/>
    </row>
    <row r="279" ht="15.75">
      <c r="BI279" s="200"/>
    </row>
    <row r="280" ht="15.75">
      <c r="BI280" s="200"/>
    </row>
    <row r="281" ht="15.75">
      <c r="BI281" s="200"/>
    </row>
    <row r="282" ht="15.75">
      <c r="BI282" s="200"/>
    </row>
    <row r="283" ht="15.75">
      <c r="BI283" s="200"/>
    </row>
    <row r="284" ht="15.75">
      <c r="BI284" s="200"/>
    </row>
    <row r="285" ht="15.75">
      <c r="BI285" s="200"/>
    </row>
    <row r="286" ht="15.75">
      <c r="BI286" s="200"/>
    </row>
    <row r="287" ht="15.75">
      <c r="BI287" s="200"/>
    </row>
    <row r="288" ht="15.75">
      <c r="BI288" s="200"/>
    </row>
    <row r="289" ht="15.75">
      <c r="BI289" s="200"/>
    </row>
    <row r="290" ht="15.75">
      <c r="BI290" s="200"/>
    </row>
    <row r="291" ht="15.75">
      <c r="BI291" s="200"/>
    </row>
    <row r="292" ht="15.75">
      <c r="BI292" s="200"/>
    </row>
    <row r="293" ht="15.75">
      <c r="BI293" s="200"/>
    </row>
    <row r="294" ht="15.75">
      <c r="BI294" s="200"/>
    </row>
    <row r="295" ht="15.75">
      <c r="BI295" s="200"/>
    </row>
    <row r="296" ht="15.75">
      <c r="BI296" s="200"/>
    </row>
    <row r="297" ht="15.75">
      <c r="BI297" s="200"/>
    </row>
    <row r="298" ht="15.75">
      <c r="BI298" s="200"/>
    </row>
    <row r="299" ht="15.75">
      <c r="BI299" s="200"/>
    </row>
    <row r="300" ht="15.75">
      <c r="BI300" s="200"/>
    </row>
    <row r="301" ht="15.75">
      <c r="BI301" s="200"/>
    </row>
    <row r="302" ht="15.75">
      <c r="BI302" s="200"/>
    </row>
    <row r="303" ht="15.75">
      <c r="BI303" s="200"/>
    </row>
    <row r="304" ht="15.75">
      <c r="BI304" s="200"/>
    </row>
    <row r="305" ht="15.75">
      <c r="BI305" s="200"/>
    </row>
    <row r="306" ht="15.75">
      <c r="BI306" s="200"/>
    </row>
    <row r="307" ht="15.75">
      <c r="BI307" s="200"/>
    </row>
    <row r="308" ht="15.75">
      <c r="BI308" s="200"/>
    </row>
    <row r="309" ht="15.75">
      <c r="BI309" s="200"/>
    </row>
    <row r="310" ht="15.75">
      <c r="BI310" s="200"/>
    </row>
    <row r="311" ht="15.75">
      <c r="BI311" s="200"/>
    </row>
    <row r="312" ht="15.75">
      <c r="BI312" s="200"/>
    </row>
    <row r="313" ht="15.75">
      <c r="BI313" s="200"/>
    </row>
    <row r="314" ht="15.75">
      <c r="BI314" s="200"/>
    </row>
    <row r="315" ht="15.75">
      <c r="BI315" s="200"/>
    </row>
    <row r="316" ht="15.75">
      <c r="BI316" s="200"/>
    </row>
    <row r="317" ht="15.75">
      <c r="BI317" s="200"/>
    </row>
    <row r="318" ht="15.75">
      <c r="BI318" s="200"/>
    </row>
    <row r="319" ht="15.75">
      <c r="BI319" s="200"/>
    </row>
    <row r="320" ht="15.75">
      <c r="BI320" s="200"/>
    </row>
    <row r="321" ht="15.75">
      <c r="BI321" s="200"/>
    </row>
    <row r="322" ht="15.75">
      <c r="BI322" s="200"/>
    </row>
    <row r="323" ht="15.75">
      <c r="BI323" s="200"/>
    </row>
    <row r="324" ht="15.75">
      <c r="BI324" s="200"/>
    </row>
    <row r="325" ht="15.75">
      <c r="BI325" s="200"/>
    </row>
    <row r="326" ht="15.75">
      <c r="BI326" s="200"/>
    </row>
    <row r="327" ht="15.75">
      <c r="BI327" s="200"/>
    </row>
    <row r="328" ht="15.75">
      <c r="BI328" s="200"/>
    </row>
    <row r="329" ht="15.75">
      <c r="BI329" s="200"/>
    </row>
    <row r="330" ht="15.75">
      <c r="BI330" s="200"/>
    </row>
    <row r="331" ht="15.75">
      <c r="BI331" s="200"/>
    </row>
    <row r="332" ht="15.75">
      <c r="BI332" s="200"/>
    </row>
    <row r="333" ht="15.75">
      <c r="BI333" s="200"/>
    </row>
    <row r="334" ht="15.75">
      <c r="BI334" s="200"/>
    </row>
    <row r="335" ht="15.75">
      <c r="BI335" s="200"/>
    </row>
    <row r="336" ht="15.75">
      <c r="BI336" s="200"/>
    </row>
    <row r="337" ht="15.75">
      <c r="BI337" s="200"/>
    </row>
    <row r="338" ht="15.75">
      <c r="BI338" s="200"/>
    </row>
    <row r="339" ht="15.75">
      <c r="BI339" s="200"/>
    </row>
    <row r="340" ht="15.75">
      <c r="BI340" s="200"/>
    </row>
    <row r="341" ht="15.75">
      <c r="BI341" s="200"/>
    </row>
    <row r="342" ht="15.75">
      <c r="BI342" s="200"/>
    </row>
    <row r="343" ht="15.75">
      <c r="BI343" s="200"/>
    </row>
    <row r="344" ht="15.75">
      <c r="BI344" s="200"/>
    </row>
    <row r="345" ht="15.75">
      <c r="BI345" s="200"/>
    </row>
    <row r="346" ht="15.75">
      <c r="BI346" s="200"/>
    </row>
    <row r="347" ht="15.75">
      <c r="BI347" s="200"/>
    </row>
    <row r="348" ht="15.75">
      <c r="BI348" s="200"/>
    </row>
    <row r="349" ht="15.75">
      <c r="BI349" s="200"/>
    </row>
    <row r="350" ht="15.75">
      <c r="BI350" s="200"/>
    </row>
    <row r="351" ht="15.75">
      <c r="BI351" s="200"/>
    </row>
    <row r="352" ht="15.75">
      <c r="BI352" s="200"/>
    </row>
    <row r="353" ht="15.75">
      <c r="BI353" s="200"/>
    </row>
    <row r="354" ht="15.75">
      <c r="BI354" s="200"/>
    </row>
    <row r="355" ht="15.75">
      <c r="BI355" s="200"/>
    </row>
    <row r="356" ht="15.75">
      <c r="BI356" s="200"/>
    </row>
    <row r="357" ht="15.75">
      <c r="BI357" s="200"/>
    </row>
    <row r="358" ht="15.75">
      <c r="BI358" s="200"/>
    </row>
    <row r="359" ht="15.75">
      <c r="BI359" s="200"/>
    </row>
    <row r="360" ht="15.75">
      <c r="BI360" s="200"/>
    </row>
    <row r="361" ht="15.75">
      <c r="BI361" s="200"/>
    </row>
    <row r="362" ht="15.75">
      <c r="BI362" s="200"/>
    </row>
    <row r="363" ht="15.75">
      <c r="BI363" s="200"/>
    </row>
    <row r="364" ht="15.75">
      <c r="BI364" s="200"/>
    </row>
    <row r="365" ht="15.75">
      <c r="BI365" s="200"/>
    </row>
    <row r="366" ht="15.75">
      <c r="BI366" s="200"/>
    </row>
    <row r="367" ht="15.75">
      <c r="BI367" s="200"/>
    </row>
    <row r="368" ht="15.75">
      <c r="BI368" s="200"/>
    </row>
    <row r="369" ht="15.75">
      <c r="BI369" s="200"/>
    </row>
    <row r="370" ht="15.75">
      <c r="BI370" s="200"/>
    </row>
    <row r="371" ht="15.75">
      <c r="BI371" s="200"/>
    </row>
    <row r="372" ht="15.75">
      <c r="BI372" s="200"/>
    </row>
    <row r="373" ht="15.75">
      <c r="BI373" s="200"/>
    </row>
    <row r="374" ht="15.75">
      <c r="BI374" s="200"/>
    </row>
    <row r="375" ht="15.75">
      <c r="BI375" s="200"/>
    </row>
    <row r="376" ht="15.75">
      <c r="BI376" s="200"/>
    </row>
    <row r="377" ht="15.75">
      <c r="BI377" s="200"/>
    </row>
    <row r="378" ht="15.75">
      <c r="BI378" s="200"/>
    </row>
    <row r="379" ht="15.75">
      <c r="BI379" s="200"/>
    </row>
    <row r="380" ht="15.75">
      <c r="BI380" s="200"/>
    </row>
    <row r="381" ht="15.75">
      <c r="BI381" s="200"/>
    </row>
    <row r="382" ht="15.75">
      <c r="BI382" s="200"/>
    </row>
    <row r="383" ht="15.75">
      <c r="BI383" s="200"/>
    </row>
    <row r="384" ht="15.75">
      <c r="BI384" s="200"/>
    </row>
    <row r="385" ht="15.75">
      <c r="BI385" s="200"/>
    </row>
    <row r="386" ht="15.75">
      <c r="BI386" s="200"/>
    </row>
    <row r="387" ht="15.75">
      <c r="BI387" s="200"/>
    </row>
    <row r="388" ht="15.75">
      <c r="BI388" s="200"/>
    </row>
    <row r="389" ht="15.75">
      <c r="BI389" s="200"/>
    </row>
    <row r="390" ht="15.75">
      <c r="BI390" s="200"/>
    </row>
    <row r="391" ht="15.75">
      <c r="BI391" s="200"/>
    </row>
    <row r="392" ht="15.75">
      <c r="BI392" s="200"/>
    </row>
    <row r="393" ht="15.75">
      <c r="BI393" s="200"/>
    </row>
    <row r="394" ht="15.75">
      <c r="BI394" s="200"/>
    </row>
    <row r="395" ht="15.75">
      <c r="BI395" s="200"/>
    </row>
    <row r="396" ht="15.75">
      <c r="BI396" s="200"/>
    </row>
    <row r="397" ht="15.75">
      <c r="BI397" s="200"/>
    </row>
    <row r="398" ht="15.75">
      <c r="BI398" s="200"/>
    </row>
    <row r="399" ht="15.75">
      <c r="BI399" s="200"/>
    </row>
    <row r="400" ht="15.75">
      <c r="BI400" s="200"/>
    </row>
    <row r="401" ht="15.75">
      <c r="BI401" s="200"/>
    </row>
    <row r="402" ht="15.75">
      <c r="BI402" s="200"/>
    </row>
    <row r="403" ht="15.75">
      <c r="BI403" s="200"/>
    </row>
    <row r="404" ht="15.75">
      <c r="BI404" s="200"/>
    </row>
    <row r="405" ht="15.75">
      <c r="BI405" s="200"/>
    </row>
    <row r="406" ht="15.75">
      <c r="BI406" s="200"/>
    </row>
    <row r="407" ht="15.75">
      <c r="BI407" s="200"/>
    </row>
    <row r="408" ht="15.75">
      <c r="BI408" s="200"/>
    </row>
    <row r="409" ht="15.75">
      <c r="BI409" s="200"/>
    </row>
    <row r="410" ht="15.75">
      <c r="BI410" s="200"/>
    </row>
    <row r="411" ht="15.75">
      <c r="BI411" s="200"/>
    </row>
    <row r="412" ht="15.75">
      <c r="BI412" s="200"/>
    </row>
    <row r="413" ht="15.75">
      <c r="BI413" s="200"/>
    </row>
    <row r="414" ht="15.75">
      <c r="BI414" s="200"/>
    </row>
    <row r="415" ht="15.75">
      <c r="BI415" s="200"/>
    </row>
    <row r="416" ht="15.75">
      <c r="BI416" s="200"/>
    </row>
    <row r="417" ht="15.75">
      <c r="BI417" s="200"/>
    </row>
    <row r="418" ht="15.75">
      <c r="BI418" s="200"/>
    </row>
    <row r="419" ht="15.75">
      <c r="BI419" s="200"/>
    </row>
    <row r="420" ht="15.75">
      <c r="BI420" s="200"/>
    </row>
    <row r="421" ht="15.75">
      <c r="BI421" s="200"/>
    </row>
    <row r="422" ht="15.75">
      <c r="BI422" s="200"/>
    </row>
    <row r="423" ht="15.75">
      <c r="BI423" s="200"/>
    </row>
    <row r="424" ht="15.75">
      <c r="BI424" s="200"/>
    </row>
    <row r="425" ht="15.75">
      <c r="BI425" s="200"/>
    </row>
    <row r="426" ht="15.75">
      <c r="BI426" s="200"/>
    </row>
    <row r="427" ht="15.75">
      <c r="BI427" s="200"/>
    </row>
    <row r="428" ht="15.75">
      <c r="BI428" s="200"/>
    </row>
    <row r="429" ht="15.75">
      <c r="BI429" s="200"/>
    </row>
    <row r="430" ht="15.75">
      <c r="BI430" s="200"/>
    </row>
    <row r="431" ht="15.75">
      <c r="BI431" s="200"/>
    </row>
    <row r="432" ht="15.75">
      <c r="BI432" s="200"/>
    </row>
    <row r="433" ht="15.75">
      <c r="BI433" s="200"/>
    </row>
    <row r="434" ht="15.75">
      <c r="BI434" s="200"/>
    </row>
    <row r="435" ht="15.75">
      <c r="BI435" s="200"/>
    </row>
    <row r="436" ht="15.75">
      <c r="BI436" s="200"/>
    </row>
    <row r="437" ht="15.75">
      <c r="BI437" s="200"/>
    </row>
    <row r="438" ht="15.75">
      <c r="BI438" s="200"/>
    </row>
    <row r="439" ht="15.75">
      <c r="BI439" s="200"/>
    </row>
    <row r="440" ht="15.75">
      <c r="BI440" s="200"/>
    </row>
    <row r="441" ht="15.75">
      <c r="BI441" s="200"/>
    </row>
    <row r="442" ht="15.75">
      <c r="BI442" s="200"/>
    </row>
    <row r="443" ht="15.75">
      <c r="BI443" s="200"/>
    </row>
    <row r="444" ht="15.75">
      <c r="BI444" s="200"/>
    </row>
    <row r="445" ht="15.75">
      <c r="BI445" s="200"/>
    </row>
    <row r="446" ht="15.75">
      <c r="BI446" s="200"/>
    </row>
    <row r="447" ht="15.75">
      <c r="BI447" s="200"/>
    </row>
    <row r="448" ht="15.75">
      <c r="BI448" s="200"/>
    </row>
    <row r="449" ht="15.75">
      <c r="BI449" s="200"/>
    </row>
    <row r="450" ht="15.75">
      <c r="BI450" s="200"/>
    </row>
    <row r="451" ht="15.75">
      <c r="BI451" s="200"/>
    </row>
    <row r="452" ht="15.75">
      <c r="BI452" s="200"/>
    </row>
    <row r="453" ht="15.75">
      <c r="BI453" s="200"/>
    </row>
    <row r="454" ht="15.75">
      <c r="BI454" s="200"/>
    </row>
    <row r="455" ht="15.75">
      <c r="BI455" s="200"/>
    </row>
    <row r="456" ht="15.75">
      <c r="BI456" s="200"/>
    </row>
    <row r="457" ht="15.75">
      <c r="BI457" s="200"/>
    </row>
    <row r="458" ht="15.75">
      <c r="BI458" s="200"/>
    </row>
    <row r="459" ht="15.75">
      <c r="BI459" s="200"/>
    </row>
    <row r="460" ht="15.75">
      <c r="BI460" s="200"/>
    </row>
    <row r="461" ht="15.75">
      <c r="BI461" s="200"/>
    </row>
    <row r="462" ht="15.75">
      <c r="BI462" s="200"/>
    </row>
    <row r="463" ht="15.75">
      <c r="BI463" s="200"/>
    </row>
    <row r="464" ht="15.75">
      <c r="BI464" s="200"/>
    </row>
    <row r="465" ht="15.75">
      <c r="BI465" s="200"/>
    </row>
    <row r="466" ht="15.75">
      <c r="BI466" s="200"/>
    </row>
    <row r="467" ht="15.75">
      <c r="BI467" s="200"/>
    </row>
    <row r="468" ht="15.75">
      <c r="BI468" s="200"/>
    </row>
    <row r="469" ht="15.75">
      <c r="BI469" s="200"/>
    </row>
    <row r="470" ht="15.75">
      <c r="BI470" s="200"/>
    </row>
    <row r="471" ht="15.75">
      <c r="BI471" s="200"/>
    </row>
    <row r="472" ht="15.75">
      <c r="BI472" s="200"/>
    </row>
    <row r="473" ht="15.75">
      <c r="BI473" s="200"/>
    </row>
    <row r="474" ht="15.75">
      <c r="BI474" s="200"/>
    </row>
    <row r="475" ht="15.75">
      <c r="BI475" s="200"/>
    </row>
    <row r="476" ht="15.75">
      <c r="BI476" s="200"/>
    </row>
    <row r="477" ht="15.75">
      <c r="BI477" s="200"/>
    </row>
    <row r="478" ht="15.75">
      <c r="BI478" s="200"/>
    </row>
    <row r="479" ht="15.75">
      <c r="BI479" s="200"/>
    </row>
    <row r="480" ht="15.75">
      <c r="BI480" s="200"/>
    </row>
    <row r="481" ht="15.75">
      <c r="BI481" s="200"/>
    </row>
    <row r="482" ht="15.75">
      <c r="BI482" s="200"/>
    </row>
    <row r="483" ht="15.75">
      <c r="BI483" s="200"/>
    </row>
    <row r="484" ht="15.75">
      <c r="BI484" s="200"/>
    </row>
    <row r="485" ht="15.75">
      <c r="BI485" s="200"/>
    </row>
    <row r="486" ht="15.75">
      <c r="BI486" s="200"/>
    </row>
    <row r="487" ht="15.75">
      <c r="BI487" s="200"/>
    </row>
    <row r="488" ht="15.75">
      <c r="BI488" s="200"/>
    </row>
    <row r="489" ht="15.75">
      <c r="BI489" s="200"/>
    </row>
    <row r="490" ht="15.75">
      <c r="BI490" s="200"/>
    </row>
    <row r="491" ht="15.75">
      <c r="BI491" s="200"/>
    </row>
    <row r="492" ht="15.75">
      <c r="BI492" s="200"/>
    </row>
    <row r="493" ht="15.75">
      <c r="BI493" s="200"/>
    </row>
    <row r="494" ht="15.75">
      <c r="BI494" s="200"/>
    </row>
    <row r="495" ht="15.75">
      <c r="BI495" s="200"/>
    </row>
    <row r="496" ht="15.75">
      <c r="BI496" s="200"/>
    </row>
    <row r="497" ht="15.75">
      <c r="BI497" s="200"/>
    </row>
    <row r="498" ht="15.75">
      <c r="BI498" s="200"/>
    </row>
    <row r="499" ht="15.75">
      <c r="BI499" s="200"/>
    </row>
    <row r="500" ht="15.75">
      <c r="BI500" s="200"/>
    </row>
    <row r="501" ht="15.75">
      <c r="BI501" s="200"/>
    </row>
    <row r="502" ht="15.75">
      <c r="BI502" s="200"/>
    </row>
    <row r="503" ht="15.75">
      <c r="BI503" s="200"/>
    </row>
    <row r="504" ht="15.75">
      <c r="BI504" s="200"/>
    </row>
    <row r="505" ht="15.75">
      <c r="BI505" s="200"/>
    </row>
    <row r="506" ht="15.75">
      <c r="BI506" s="200"/>
    </row>
    <row r="507" ht="15.75">
      <c r="BI507" s="200"/>
    </row>
    <row r="508" ht="15.75">
      <c r="BI508" s="200"/>
    </row>
    <row r="509" ht="15.75">
      <c r="BI509" s="200"/>
    </row>
    <row r="510" ht="15.75">
      <c r="BI510" s="200"/>
    </row>
    <row r="511" ht="15.75">
      <c r="BI511" s="200"/>
    </row>
    <row r="512" ht="15.75">
      <c r="BI512" s="200"/>
    </row>
    <row r="513" ht="15.75">
      <c r="BI513" s="200"/>
    </row>
    <row r="514" ht="15.75">
      <c r="BI514" s="200"/>
    </row>
    <row r="515" ht="15.75">
      <c r="BI515" s="200"/>
    </row>
    <row r="516" ht="15.75">
      <c r="BI516" s="200"/>
    </row>
    <row r="517" ht="15.75">
      <c r="BI517" s="200"/>
    </row>
    <row r="518" ht="15.75">
      <c r="BI518" s="200"/>
    </row>
    <row r="519" ht="15.75">
      <c r="BI519" s="200"/>
    </row>
    <row r="520" ht="15.75">
      <c r="BI520" s="200"/>
    </row>
    <row r="521" ht="15.75">
      <c r="BI521" s="200"/>
    </row>
    <row r="522" ht="15.75">
      <c r="BI522" s="200"/>
    </row>
    <row r="523" ht="15.75">
      <c r="BI523" s="200"/>
    </row>
    <row r="524" ht="15.75">
      <c r="BI524" s="200"/>
    </row>
    <row r="525" ht="15.75">
      <c r="BI525" s="200"/>
    </row>
    <row r="526" ht="15.75">
      <c r="BI526" s="200"/>
    </row>
    <row r="527" ht="15.75">
      <c r="BI527" s="200"/>
    </row>
    <row r="528" ht="15.75">
      <c r="BI528" s="200"/>
    </row>
    <row r="529" ht="15.75">
      <c r="BI529" s="200"/>
    </row>
    <row r="530" ht="15.75">
      <c r="BI530" s="200"/>
    </row>
    <row r="531" ht="15.75">
      <c r="BI531" s="200"/>
    </row>
    <row r="532" ht="15.75">
      <c r="BI532" s="200"/>
    </row>
    <row r="533" ht="15.75">
      <c r="BI533" s="200"/>
    </row>
    <row r="534" ht="15.75">
      <c r="BI534" s="200"/>
    </row>
    <row r="535" ht="15.75">
      <c r="BI535" s="200"/>
    </row>
    <row r="536" ht="15.75">
      <c r="BI536" s="200"/>
    </row>
    <row r="537" ht="15.75">
      <c r="BI537" s="200"/>
    </row>
    <row r="538" ht="15.75">
      <c r="BI538" s="200"/>
    </row>
    <row r="539" ht="15.75">
      <c r="BI539" s="200"/>
    </row>
    <row r="540" ht="15.75">
      <c r="BI540" s="200"/>
    </row>
    <row r="541" ht="15.75">
      <c r="BI541" s="200"/>
    </row>
    <row r="542" ht="15.75">
      <c r="BI542" s="200"/>
    </row>
    <row r="543" ht="15.75">
      <c r="BI543" s="200"/>
    </row>
    <row r="544" ht="15.75">
      <c r="BI544" s="200"/>
    </row>
    <row r="545" ht="15.75">
      <c r="BI545" s="200"/>
    </row>
    <row r="546" ht="15.75">
      <c r="BI546" s="200"/>
    </row>
    <row r="547" ht="15.75">
      <c r="BI547" s="200"/>
    </row>
    <row r="548" ht="15.75">
      <c r="BI548" s="200"/>
    </row>
    <row r="549" ht="15.75">
      <c r="BI549" s="200"/>
    </row>
    <row r="550" ht="15.75">
      <c r="BI550" s="200"/>
    </row>
    <row r="551" ht="15.75">
      <c r="BI551" s="200"/>
    </row>
    <row r="552" ht="15.75">
      <c r="BI552" s="200"/>
    </row>
    <row r="553" ht="15.75">
      <c r="BI553" s="200"/>
    </row>
    <row r="554" ht="15.75">
      <c r="BI554" s="200"/>
    </row>
    <row r="555" ht="15.75">
      <c r="BI555" s="200"/>
    </row>
    <row r="556" ht="15.75">
      <c r="BI556" s="200"/>
    </row>
    <row r="557" ht="15.75">
      <c r="BI557" s="200"/>
    </row>
    <row r="558" ht="15.75">
      <c r="BI558" s="200"/>
    </row>
    <row r="559" ht="15.75">
      <c r="BI559" s="200"/>
    </row>
    <row r="560" ht="15.75">
      <c r="BI560" s="200"/>
    </row>
    <row r="561" ht="15.75">
      <c r="BI561" s="200"/>
    </row>
    <row r="562" ht="15.75">
      <c r="BI562" s="200"/>
    </row>
    <row r="563" ht="15.75">
      <c r="BI563" s="200"/>
    </row>
    <row r="564" ht="15.75">
      <c r="BI564" s="200"/>
    </row>
    <row r="565" ht="15.75">
      <c r="BI565" s="200"/>
    </row>
    <row r="566" ht="15.75">
      <c r="BI566" s="200"/>
    </row>
    <row r="567" ht="15.75">
      <c r="BI567" s="200"/>
    </row>
    <row r="568" ht="15.75">
      <c r="BI568" s="200"/>
    </row>
    <row r="569" ht="15.75">
      <c r="BI569" s="200"/>
    </row>
    <row r="570" ht="15.75">
      <c r="BI570" s="200"/>
    </row>
    <row r="571" ht="15.75">
      <c r="BI571" s="200"/>
    </row>
    <row r="572" ht="15.75">
      <c r="BI572" s="200"/>
    </row>
    <row r="573" ht="15.75">
      <c r="BI573" s="200"/>
    </row>
    <row r="574" ht="15.75">
      <c r="BI574" s="200"/>
    </row>
    <row r="575" ht="15.75">
      <c r="BI575" s="200"/>
    </row>
    <row r="576" ht="15.75">
      <c r="BI576" s="200"/>
    </row>
    <row r="577" ht="15.75">
      <c r="BI577" s="200"/>
    </row>
    <row r="578" ht="15.75">
      <c r="BI578" s="200"/>
    </row>
    <row r="579" ht="15.75">
      <c r="BI579" s="200"/>
    </row>
    <row r="580" ht="15.75">
      <c r="BI580" s="200"/>
    </row>
    <row r="581" ht="15.75">
      <c r="BI581" s="200"/>
    </row>
    <row r="582" ht="15.75">
      <c r="BI582" s="200"/>
    </row>
    <row r="583" ht="15.75">
      <c r="BI583" s="200"/>
    </row>
    <row r="584" ht="15.75">
      <c r="BI584" s="200"/>
    </row>
    <row r="585" ht="15.75">
      <c r="BI585" s="200"/>
    </row>
    <row r="586" ht="15.75">
      <c r="BI586" s="200"/>
    </row>
    <row r="587" ht="15.75">
      <c r="BI587" s="200"/>
    </row>
    <row r="588" ht="15.75">
      <c r="BI588" s="200"/>
    </row>
    <row r="589" ht="15.75">
      <c r="BI589" s="200"/>
    </row>
    <row r="590" ht="15.75">
      <c r="BI590" s="200"/>
    </row>
    <row r="591" ht="15.75">
      <c r="BI591" s="200"/>
    </row>
    <row r="592" ht="15.75">
      <c r="BI592" s="200"/>
    </row>
    <row r="593" ht="15.75">
      <c r="BI593" s="200"/>
    </row>
    <row r="594" ht="15.75">
      <c r="BI594" s="200"/>
    </row>
    <row r="595" ht="15.75">
      <c r="BI595" s="200"/>
    </row>
    <row r="596" ht="15.75">
      <c r="BI596" s="200"/>
    </row>
    <row r="597" ht="15.75">
      <c r="BI597" s="200"/>
    </row>
    <row r="598" ht="15.75">
      <c r="BI598" s="200"/>
    </row>
    <row r="599" ht="15.75">
      <c r="BI599" s="200"/>
    </row>
    <row r="600" ht="15.75">
      <c r="BI600" s="200"/>
    </row>
    <row r="601" ht="15.75">
      <c r="BI601" s="200"/>
    </row>
    <row r="602" ht="15.75">
      <c r="BI602" s="200"/>
    </row>
    <row r="603" ht="15.75">
      <c r="BI603" s="200"/>
    </row>
    <row r="604" ht="15.75">
      <c r="BI604" s="200"/>
    </row>
    <row r="605" ht="15.75">
      <c r="BI605" s="200"/>
    </row>
    <row r="606" ht="15.75">
      <c r="BI606" s="200"/>
    </row>
    <row r="607" ht="15.75">
      <c r="BI607" s="200"/>
    </row>
    <row r="608" ht="15.75">
      <c r="BI608" s="200"/>
    </row>
    <row r="609" ht="15.75">
      <c r="BI609" s="200"/>
    </row>
    <row r="610" ht="15.75">
      <c r="BI610" s="200"/>
    </row>
    <row r="611" ht="15.75">
      <c r="BI611" s="200"/>
    </row>
    <row r="612" ht="15.75">
      <c r="BI612" s="200"/>
    </row>
    <row r="613" ht="15.75">
      <c r="BI613" s="200"/>
    </row>
    <row r="614" ht="15.75">
      <c r="BI614" s="200"/>
    </row>
    <row r="615" ht="15.75">
      <c r="BI615" s="200"/>
    </row>
    <row r="616" ht="15.75">
      <c r="BI616" s="200"/>
    </row>
    <row r="617" ht="15.75">
      <c r="BI617" s="200"/>
    </row>
    <row r="618" ht="15.75">
      <c r="BI618" s="200"/>
    </row>
    <row r="619" ht="15.75">
      <c r="BI619" s="200"/>
    </row>
    <row r="620" ht="15.75">
      <c r="BI620" s="200"/>
    </row>
    <row r="621" ht="15.75">
      <c r="BI621" s="200"/>
    </row>
    <row r="622" ht="15.75">
      <c r="BI622" s="200"/>
    </row>
    <row r="623" ht="15.75">
      <c r="BI623" s="200"/>
    </row>
    <row r="624" ht="15.75">
      <c r="BI624" s="200"/>
    </row>
    <row r="625" ht="15.75">
      <c r="BI625" s="200"/>
    </row>
    <row r="626" ht="15.75">
      <c r="BI626" s="200"/>
    </row>
    <row r="627" ht="15.75">
      <c r="BI627" s="200"/>
    </row>
    <row r="628" ht="15.75">
      <c r="BI628" s="200"/>
    </row>
    <row r="629" ht="15.75">
      <c r="BI629" s="200"/>
    </row>
    <row r="630" ht="15.75">
      <c r="BI630" s="200"/>
    </row>
    <row r="631" ht="15.75">
      <c r="BI631" s="200"/>
    </row>
    <row r="632" ht="15.75">
      <c r="BI632" s="200"/>
    </row>
    <row r="633" ht="15.75">
      <c r="BI633" s="200"/>
    </row>
    <row r="634" ht="15.75">
      <c r="BI634" s="200"/>
    </row>
    <row r="635" ht="15.75">
      <c r="BI635" s="200"/>
    </row>
    <row r="636" ht="15.75">
      <c r="BI636" s="200"/>
    </row>
    <row r="637" ht="15.75">
      <c r="BI637" s="200"/>
    </row>
    <row r="638" ht="15.75">
      <c r="BI638" s="200"/>
    </row>
    <row r="639" ht="15.75">
      <c r="BI639" s="200"/>
    </row>
    <row r="640" ht="15.75">
      <c r="BI640" s="200"/>
    </row>
    <row r="641" ht="15.75">
      <c r="BI641" s="200"/>
    </row>
    <row r="642" ht="15.75">
      <c r="BI642" s="200"/>
    </row>
    <row r="643" ht="15.75">
      <c r="BI643" s="200"/>
    </row>
    <row r="644" ht="15.75">
      <c r="BI644" s="200"/>
    </row>
    <row r="645" ht="15.75">
      <c r="BI645" s="200"/>
    </row>
    <row r="646" ht="15.75">
      <c r="BI646" s="200"/>
    </row>
    <row r="647" ht="15.75">
      <c r="BI647" s="200"/>
    </row>
    <row r="648" ht="15.75">
      <c r="BI648" s="200"/>
    </row>
    <row r="649" ht="15.75">
      <c r="BI649" s="200"/>
    </row>
    <row r="650" ht="15.75">
      <c r="BI650" s="200"/>
    </row>
    <row r="651" ht="15.75">
      <c r="BI651" s="200"/>
    </row>
    <row r="652" ht="15.75">
      <c r="BI652" s="200"/>
    </row>
    <row r="653" ht="15.75">
      <c r="BI653" s="200"/>
    </row>
    <row r="654" ht="15.75">
      <c r="BI654" s="200"/>
    </row>
    <row r="655" ht="15.75">
      <c r="BI655" s="200"/>
    </row>
    <row r="656" ht="15.75">
      <c r="BI656" s="200"/>
    </row>
    <row r="657" ht="15.75">
      <c r="BI657" s="200"/>
    </row>
    <row r="658" ht="15.75">
      <c r="BI658" s="200"/>
    </row>
    <row r="659" ht="15.75">
      <c r="BI659" s="200"/>
    </row>
    <row r="660" ht="15.75">
      <c r="BI660" s="200"/>
    </row>
    <row r="661" ht="15.75">
      <c r="BI661" s="200"/>
    </row>
    <row r="662" ht="15.75">
      <c r="BI662" s="200"/>
    </row>
    <row r="663" ht="15.75">
      <c r="BI663" s="200"/>
    </row>
    <row r="664" ht="15.75">
      <c r="BI664" s="200"/>
    </row>
    <row r="665" ht="15.75">
      <c r="BI665" s="200"/>
    </row>
    <row r="666" ht="15.75">
      <c r="BI666" s="200"/>
    </row>
    <row r="667" ht="15.75">
      <c r="BI667" s="200"/>
    </row>
    <row r="668" ht="15.75">
      <c r="BI668" s="200"/>
    </row>
    <row r="669" ht="15.75">
      <c r="BI669" s="200"/>
    </row>
    <row r="670" ht="15.75">
      <c r="BI670" s="200"/>
    </row>
    <row r="671" ht="15.75">
      <c r="BI671" s="200"/>
    </row>
    <row r="672" ht="15.75">
      <c r="BI672" s="200"/>
    </row>
    <row r="673" ht="15.75">
      <c r="BI673" s="200"/>
    </row>
    <row r="674" ht="15.75">
      <c r="BI674" s="200"/>
    </row>
    <row r="675" ht="15.75">
      <c r="BI675" s="200"/>
    </row>
    <row r="676" ht="15.75">
      <c r="BI676" s="200"/>
    </row>
    <row r="677" ht="15.75">
      <c r="BI677" s="200"/>
    </row>
    <row r="678" ht="15.75">
      <c r="BI678" s="200"/>
    </row>
    <row r="679" ht="15.75">
      <c r="BI679" s="200"/>
    </row>
    <row r="680" ht="15.75">
      <c r="BI680" s="200"/>
    </row>
    <row r="681" ht="15.75">
      <c r="BI681" s="200"/>
    </row>
    <row r="682" ht="15.75">
      <c r="BI682" s="200"/>
    </row>
    <row r="683" ht="15.75">
      <c r="BI683" s="200"/>
    </row>
    <row r="684" ht="15.75">
      <c r="BI684" s="200"/>
    </row>
    <row r="685" ht="15.75">
      <c r="BI685" s="200"/>
    </row>
    <row r="686" ht="15.75">
      <c r="BI686" s="200"/>
    </row>
    <row r="687" ht="15.75">
      <c r="BI687" s="200"/>
    </row>
    <row r="688" ht="15.75">
      <c r="BI688" s="200"/>
    </row>
    <row r="689" ht="15.75">
      <c r="BI689" s="200"/>
    </row>
    <row r="690" ht="15.75">
      <c r="BI690" s="200"/>
    </row>
    <row r="691" ht="15.75">
      <c r="BI691" s="200"/>
    </row>
    <row r="692" ht="15.75">
      <c r="BI692" s="200"/>
    </row>
    <row r="693" ht="15.75">
      <c r="BI693" s="200"/>
    </row>
    <row r="694" ht="15.75">
      <c r="BI694" s="200"/>
    </row>
    <row r="695" ht="15.75">
      <c r="BI695" s="200"/>
    </row>
    <row r="696" ht="15.75">
      <c r="BI696" s="200"/>
    </row>
    <row r="697" ht="15.75">
      <c r="BI697" s="200"/>
    </row>
    <row r="698" ht="15.75">
      <c r="BI698" s="200"/>
    </row>
    <row r="699" ht="15.75">
      <c r="BI699" s="200"/>
    </row>
    <row r="700" ht="15.75">
      <c r="BI700" s="200"/>
    </row>
    <row r="701" ht="15.75">
      <c r="BI701" s="200"/>
    </row>
    <row r="702" ht="15.75">
      <c r="BI702" s="200"/>
    </row>
    <row r="703" ht="15.75">
      <c r="BI703" s="200"/>
    </row>
    <row r="704" ht="15.75">
      <c r="BI704" s="200"/>
    </row>
    <row r="705" ht="15.75">
      <c r="BI705" s="200"/>
    </row>
    <row r="706" ht="15.75">
      <c r="BI706" s="200"/>
    </row>
    <row r="707" ht="15.75">
      <c r="BI707" s="200"/>
    </row>
    <row r="708" ht="15.75">
      <c r="BI708" s="200"/>
    </row>
    <row r="709" ht="15.75">
      <c r="BI709" s="200"/>
    </row>
    <row r="710" ht="15.75">
      <c r="BI710" s="200"/>
    </row>
    <row r="711" ht="15.75">
      <c r="BI711" s="200"/>
    </row>
    <row r="712" ht="15.75">
      <c r="BI712" s="200"/>
    </row>
    <row r="713" ht="15.75">
      <c r="BI713" s="200"/>
    </row>
    <row r="714" ht="15.75">
      <c r="BI714" s="200"/>
    </row>
    <row r="715" ht="15.75">
      <c r="BI715" s="200"/>
    </row>
    <row r="716" ht="15.75">
      <c r="BI716" s="200"/>
    </row>
  </sheetData>
  <sheetProtection/>
  <mergeCells count="22">
    <mergeCell ref="BR1:BS1"/>
    <mergeCell ref="BR2:BR3"/>
    <mergeCell ref="BS2:BS3"/>
    <mergeCell ref="BG1:BP1"/>
    <mergeCell ref="AR2:AT2"/>
    <mergeCell ref="AG2:AI2"/>
    <mergeCell ref="BM2:BO2"/>
    <mergeCell ref="AL1:AT1"/>
    <mergeCell ref="AL2:AM2"/>
    <mergeCell ref="AV2:AW2"/>
    <mergeCell ref="AX2:AY2"/>
    <mergeCell ref="AP2:AQ2"/>
    <mergeCell ref="AN2:AO2"/>
    <mergeCell ref="AZ2:BA2"/>
    <mergeCell ref="C1:J1"/>
    <mergeCell ref="L1:R1"/>
    <mergeCell ref="S1:X1"/>
    <mergeCell ref="Z1:AA1"/>
    <mergeCell ref="AD1:AJ1"/>
    <mergeCell ref="AV1:BE1"/>
    <mergeCell ref="P2:Q2"/>
    <mergeCell ref="AD2:AE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220"/>
  <sheetViews>
    <sheetView zoomScale="60" zoomScaleNormal="60" zoomScalePageLayoutView="0" workbookViewId="0" topLeftCell="AA103">
      <selection activeCell="BU158" sqref="BU158"/>
    </sheetView>
  </sheetViews>
  <sheetFormatPr defaultColWidth="10.28125" defaultRowHeight="12.75"/>
  <cols>
    <col min="1" max="1" width="7.140625" style="27" bestFit="1" customWidth="1"/>
    <col min="2" max="2" width="31.28125" style="217" bestFit="1" customWidth="1"/>
    <col min="3" max="3" width="30.421875" style="215" bestFit="1" customWidth="1"/>
    <col min="4" max="33" width="6.8515625" style="216" customWidth="1"/>
    <col min="34" max="34" width="31.28125" style="217" bestFit="1" customWidth="1"/>
    <col min="35" max="63" width="6.8515625" style="216" customWidth="1"/>
    <col min="64" max="64" width="6.8515625" style="217" customWidth="1"/>
    <col min="65" max="65" width="28.28125" style="369" bestFit="1" customWidth="1"/>
    <col min="66" max="66" width="24.7109375" style="369" customWidth="1"/>
    <col min="67" max="67" width="16.421875" style="370" customWidth="1"/>
    <col min="68" max="68" width="21.7109375" style="369" bestFit="1" customWidth="1"/>
    <col min="69" max="69" width="30.7109375" style="218" bestFit="1" customWidth="1"/>
    <col min="70" max="16384" width="10.28125" style="217" customWidth="1"/>
  </cols>
  <sheetData>
    <row r="1" spans="2:34" ht="15.75">
      <c r="B1" s="214"/>
      <c r="AH1" s="214"/>
    </row>
    <row r="2" spans="1:69" ht="16.5" thickBot="1">
      <c r="A2" s="52"/>
      <c r="B2" s="219" t="s">
        <v>112</v>
      </c>
      <c r="C2" s="220" t="s">
        <v>246</v>
      </c>
      <c r="D2" s="435" t="s">
        <v>247</v>
      </c>
      <c r="E2" s="436"/>
      <c r="F2" s="436"/>
      <c r="G2" s="436"/>
      <c r="H2" s="436"/>
      <c r="I2" s="436"/>
      <c r="J2" s="436"/>
      <c r="K2" s="436"/>
      <c r="L2" s="436"/>
      <c r="M2" s="437"/>
      <c r="N2" s="435" t="s">
        <v>248</v>
      </c>
      <c r="O2" s="436"/>
      <c r="P2" s="436"/>
      <c r="Q2" s="436"/>
      <c r="R2" s="436"/>
      <c r="S2" s="436"/>
      <c r="T2" s="436"/>
      <c r="U2" s="436"/>
      <c r="V2" s="436"/>
      <c r="W2" s="436"/>
      <c r="X2" s="435" t="s">
        <v>96</v>
      </c>
      <c r="Y2" s="436"/>
      <c r="Z2" s="436"/>
      <c r="AA2" s="436"/>
      <c r="AB2" s="436"/>
      <c r="AC2" s="436"/>
      <c r="AD2" s="436"/>
      <c r="AE2" s="436"/>
      <c r="AF2" s="436"/>
      <c r="AG2" s="437"/>
      <c r="AH2" s="219" t="s">
        <v>112</v>
      </c>
      <c r="AI2" s="438" t="s">
        <v>249</v>
      </c>
      <c r="AJ2" s="439"/>
      <c r="AK2" s="439"/>
      <c r="AL2" s="439"/>
      <c r="AM2" s="439"/>
      <c r="AN2" s="439"/>
      <c r="AO2" s="439"/>
      <c r="AP2" s="439"/>
      <c r="AQ2" s="439"/>
      <c r="AR2" s="440"/>
      <c r="AS2" s="438" t="s">
        <v>250</v>
      </c>
      <c r="AT2" s="439"/>
      <c r="AU2" s="439"/>
      <c r="AV2" s="439"/>
      <c r="AW2" s="439"/>
      <c r="AX2" s="439"/>
      <c r="AY2" s="439"/>
      <c r="AZ2" s="439"/>
      <c r="BA2" s="439"/>
      <c r="BB2" s="440"/>
      <c r="BC2" s="432" t="s">
        <v>99</v>
      </c>
      <c r="BD2" s="433"/>
      <c r="BE2" s="433"/>
      <c r="BF2" s="433"/>
      <c r="BG2" s="433"/>
      <c r="BH2" s="433"/>
      <c r="BI2" s="433"/>
      <c r="BJ2" s="433"/>
      <c r="BK2" s="433"/>
      <c r="BL2" s="434"/>
      <c r="BM2" s="221" t="s">
        <v>251</v>
      </c>
      <c r="BN2" s="221" t="s">
        <v>252</v>
      </c>
      <c r="BO2" s="222" t="s">
        <v>102</v>
      </c>
      <c r="BP2" s="221" t="s">
        <v>253</v>
      </c>
      <c r="BQ2" s="222" t="s">
        <v>103</v>
      </c>
    </row>
    <row r="3" spans="1:71" ht="15">
      <c r="A3" s="90">
        <v>85</v>
      </c>
      <c r="B3" s="223" t="s">
        <v>122</v>
      </c>
      <c r="C3" s="224">
        <v>3</v>
      </c>
      <c r="D3" s="225">
        <v>8.43</v>
      </c>
      <c r="E3" s="226">
        <v>9.39</v>
      </c>
      <c r="F3" s="226">
        <v>8.87</v>
      </c>
      <c r="G3" s="226">
        <v>9.28</v>
      </c>
      <c r="H3" s="226">
        <v>9.42</v>
      </c>
      <c r="I3" s="226">
        <v>9.38</v>
      </c>
      <c r="J3" s="226">
        <v>9.03</v>
      </c>
      <c r="K3" s="226">
        <v>8.88</v>
      </c>
      <c r="L3" s="226">
        <v>9.14</v>
      </c>
      <c r="M3" s="227">
        <v>9.39</v>
      </c>
      <c r="N3" s="225">
        <v>3.01</v>
      </c>
      <c r="O3" s="226">
        <v>3.19</v>
      </c>
      <c r="P3" s="226">
        <v>3.01</v>
      </c>
      <c r="Q3" s="226">
        <v>2.95</v>
      </c>
      <c r="R3" s="226">
        <v>2.96</v>
      </c>
      <c r="S3" s="226">
        <v>3.17</v>
      </c>
      <c r="T3" s="226">
        <v>3.07</v>
      </c>
      <c r="U3" s="226">
        <v>3.06</v>
      </c>
      <c r="V3" s="226">
        <v>3.24</v>
      </c>
      <c r="W3" s="228">
        <v>3.11</v>
      </c>
      <c r="X3" s="229">
        <f>D3/N3</f>
        <v>2.8006644518272426</v>
      </c>
      <c r="Y3" s="230">
        <f>E3/O3</f>
        <v>2.943573667711599</v>
      </c>
      <c r="Z3" s="230">
        <f aca="true" t="shared" si="0" ref="Z3:AG3">F3/P3</f>
        <v>2.946843853820598</v>
      </c>
      <c r="AA3" s="230">
        <f t="shared" si="0"/>
        <v>3.1457627118644065</v>
      </c>
      <c r="AB3" s="230">
        <f t="shared" si="0"/>
        <v>3.1824324324324325</v>
      </c>
      <c r="AC3" s="230">
        <f t="shared" si="0"/>
        <v>2.958990536277603</v>
      </c>
      <c r="AD3" s="230">
        <f t="shared" si="0"/>
        <v>2.9413680781758957</v>
      </c>
      <c r="AE3" s="230">
        <f t="shared" si="0"/>
        <v>2.901960784313726</v>
      </c>
      <c r="AF3" s="230">
        <f t="shared" si="0"/>
        <v>2.8209876543209877</v>
      </c>
      <c r="AG3" s="231">
        <f t="shared" si="0"/>
        <v>3.019292604501608</v>
      </c>
      <c r="AH3" s="223" t="s">
        <v>122</v>
      </c>
      <c r="AI3" s="229">
        <v>6.96</v>
      </c>
      <c r="AJ3" s="232">
        <v>6.59</v>
      </c>
      <c r="AK3" s="232">
        <v>6.85</v>
      </c>
      <c r="AL3" s="232">
        <v>6.47</v>
      </c>
      <c r="AM3" s="232">
        <v>6.86</v>
      </c>
      <c r="AN3" s="232">
        <v>6.87</v>
      </c>
      <c r="AO3" s="232">
        <v>6.31</v>
      </c>
      <c r="AP3" s="232">
        <v>6.61</v>
      </c>
      <c r="AQ3" s="230">
        <v>6.35</v>
      </c>
      <c r="AR3" s="231">
        <v>6.62</v>
      </c>
      <c r="AS3" s="229">
        <v>2.54</v>
      </c>
      <c r="AT3" s="232">
        <v>2.75</v>
      </c>
      <c r="AU3" s="232">
        <v>2.85</v>
      </c>
      <c r="AV3" s="232">
        <v>2.48</v>
      </c>
      <c r="AW3" s="232">
        <v>2.71</v>
      </c>
      <c r="AX3" s="232">
        <v>2.64</v>
      </c>
      <c r="AY3" s="232">
        <v>2.44</v>
      </c>
      <c r="AZ3" s="232">
        <v>2.44</v>
      </c>
      <c r="BA3" s="230">
        <v>2.47</v>
      </c>
      <c r="BB3" s="231">
        <v>2.62</v>
      </c>
      <c r="BC3" s="229">
        <f>AI3/AS3</f>
        <v>2.7401574803149606</v>
      </c>
      <c r="BD3" s="230">
        <f>AJ3/AT3</f>
        <v>2.3963636363636365</v>
      </c>
      <c r="BE3" s="230">
        <f aca="true" t="shared" si="1" ref="BE3:BL3">AK3/AU3</f>
        <v>2.4035087719298245</v>
      </c>
      <c r="BF3" s="230">
        <f t="shared" si="1"/>
        <v>2.6088709677419355</v>
      </c>
      <c r="BG3" s="230">
        <f t="shared" si="1"/>
        <v>2.531365313653137</v>
      </c>
      <c r="BH3" s="230">
        <f t="shared" si="1"/>
        <v>2.602272727272727</v>
      </c>
      <c r="BI3" s="230">
        <f t="shared" si="1"/>
        <v>2.5860655737704916</v>
      </c>
      <c r="BJ3" s="230">
        <f t="shared" si="1"/>
        <v>2.709016393442623</v>
      </c>
      <c r="BK3" s="230">
        <f t="shared" si="1"/>
        <v>2.5708502024291495</v>
      </c>
      <c r="BL3" s="230">
        <f t="shared" si="1"/>
        <v>2.5267175572519083</v>
      </c>
      <c r="BM3" s="371">
        <f>2*14.8</f>
        <v>29.6</v>
      </c>
      <c r="BN3" s="371">
        <f>2*10.59</f>
        <v>21.18</v>
      </c>
      <c r="BO3" s="372">
        <f>BN3/BM3</f>
        <v>0.7155405405405405</v>
      </c>
      <c r="BP3" s="371">
        <f>2*8.62</f>
        <v>17.24</v>
      </c>
      <c r="BQ3" s="233">
        <f>BP3/BM3</f>
        <v>0.5824324324324324</v>
      </c>
      <c r="BS3" s="234"/>
    </row>
    <row r="4" spans="1:71" ht="15">
      <c r="A4" s="90">
        <v>97</v>
      </c>
      <c r="B4" s="235" t="s">
        <v>123</v>
      </c>
      <c r="C4" s="236">
        <v>3</v>
      </c>
      <c r="D4" s="237">
        <v>8.72</v>
      </c>
      <c r="E4" s="238">
        <v>8.72</v>
      </c>
      <c r="F4" s="238">
        <v>8.9</v>
      </c>
      <c r="G4" s="238">
        <v>9.27</v>
      </c>
      <c r="H4" s="238">
        <v>8.61</v>
      </c>
      <c r="I4" s="238">
        <v>8.98</v>
      </c>
      <c r="J4" s="238">
        <v>9.57</v>
      </c>
      <c r="K4" s="238">
        <v>9.3</v>
      </c>
      <c r="L4" s="238">
        <v>8.78</v>
      </c>
      <c r="M4" s="239">
        <v>8.62</v>
      </c>
      <c r="N4" s="237">
        <v>3.03</v>
      </c>
      <c r="O4" s="216">
        <v>2.89</v>
      </c>
      <c r="P4" s="238">
        <v>3.11</v>
      </c>
      <c r="Q4" s="238">
        <v>3.22</v>
      </c>
      <c r="R4" s="238">
        <v>2.78</v>
      </c>
      <c r="S4" s="238">
        <v>3.1</v>
      </c>
      <c r="T4" s="238">
        <v>3.07</v>
      </c>
      <c r="U4" s="238">
        <v>3.07</v>
      </c>
      <c r="V4" s="238">
        <v>2.97</v>
      </c>
      <c r="W4" s="240">
        <v>3.14</v>
      </c>
      <c r="X4" s="237">
        <f aca="true" t="shared" si="2" ref="X4:X19">D4/N4</f>
        <v>2.877887788778878</v>
      </c>
      <c r="Y4" s="238">
        <f aca="true" t="shared" si="3" ref="Y4:Y19">E4/O4</f>
        <v>3.017301038062284</v>
      </c>
      <c r="Z4" s="238">
        <f aca="true" t="shared" si="4" ref="Z4:Z19">F4/P4</f>
        <v>2.861736334405145</v>
      </c>
      <c r="AA4" s="238">
        <f aca="true" t="shared" si="5" ref="AA4:AA19">G4/Q4</f>
        <v>2.8788819875776395</v>
      </c>
      <c r="AB4" s="238">
        <f aca="true" t="shared" si="6" ref="AB4:AB19">H4/R4</f>
        <v>3.097122302158273</v>
      </c>
      <c r="AC4" s="238">
        <f aca="true" t="shared" si="7" ref="AC4:AC19">I4/S4</f>
        <v>2.8967741935483873</v>
      </c>
      <c r="AD4" s="238">
        <f aca="true" t="shared" si="8" ref="AD4:AD19">J4/T4</f>
        <v>3.1172638436482085</v>
      </c>
      <c r="AE4" s="238">
        <f aca="true" t="shared" si="9" ref="AE4:AE19">K4/U4</f>
        <v>3.0293159609120526</v>
      </c>
      <c r="AF4" s="238">
        <f aca="true" t="shared" si="10" ref="AF4:AF19">L4/V4</f>
        <v>2.956228956228956</v>
      </c>
      <c r="AG4" s="239">
        <f aca="true" t="shared" si="11" ref="AG4:AG19">M4/W4</f>
        <v>2.7452229299363053</v>
      </c>
      <c r="AH4" s="235" t="s">
        <v>123</v>
      </c>
      <c r="AI4" s="237">
        <v>6.56</v>
      </c>
      <c r="AJ4" s="241">
        <v>6.83</v>
      </c>
      <c r="AK4" s="241">
        <v>6.62</v>
      </c>
      <c r="AL4" s="241">
        <v>6.65</v>
      </c>
      <c r="AM4" s="241">
        <v>6.57</v>
      </c>
      <c r="AN4" s="241">
        <v>6.53</v>
      </c>
      <c r="AO4" s="241">
        <v>6.49</v>
      </c>
      <c r="AP4" s="241">
        <v>6.51</v>
      </c>
      <c r="AQ4" s="238">
        <v>6.55</v>
      </c>
      <c r="AR4" s="239">
        <v>6.7</v>
      </c>
      <c r="AS4" s="237">
        <v>2.55</v>
      </c>
      <c r="AT4" s="241">
        <v>2.64</v>
      </c>
      <c r="AU4" s="241">
        <v>2.63</v>
      </c>
      <c r="AV4" s="241">
        <v>2.7</v>
      </c>
      <c r="AW4" s="241">
        <v>2.61</v>
      </c>
      <c r="AX4" s="241">
        <v>2.63</v>
      </c>
      <c r="AY4" s="241">
        <v>2.45</v>
      </c>
      <c r="AZ4" s="241">
        <v>2.65</v>
      </c>
      <c r="BA4" s="238">
        <v>2.56</v>
      </c>
      <c r="BB4" s="239">
        <v>2.57</v>
      </c>
      <c r="BC4" s="237">
        <f>AI4/AS4</f>
        <v>2.5725490196078433</v>
      </c>
      <c r="BD4" s="238">
        <f>AJ4/AT4</f>
        <v>2.587121212121212</v>
      </c>
      <c r="BE4" s="238">
        <f aca="true" t="shared" si="12" ref="BE4:BL4">AK4/AU4</f>
        <v>2.517110266159696</v>
      </c>
      <c r="BF4" s="238">
        <f t="shared" si="12"/>
        <v>2.462962962962963</v>
      </c>
      <c r="BG4" s="238">
        <f t="shared" si="12"/>
        <v>2.517241379310345</v>
      </c>
      <c r="BH4" s="238">
        <f t="shared" si="12"/>
        <v>2.482889733840304</v>
      </c>
      <c r="BI4" s="238">
        <f t="shared" si="12"/>
        <v>2.6489795918367345</v>
      </c>
      <c r="BJ4" s="238">
        <f t="shared" si="12"/>
        <v>2.456603773584906</v>
      </c>
      <c r="BK4" s="238">
        <f t="shared" si="12"/>
        <v>2.55859375</v>
      </c>
      <c r="BL4" s="238">
        <f t="shared" si="12"/>
        <v>2.6070038910505837</v>
      </c>
      <c r="BM4" s="373">
        <v>27.92</v>
      </c>
      <c r="BN4" s="373">
        <v>19.41</v>
      </c>
      <c r="BO4" s="374">
        <f>BN4/BM4</f>
        <v>0.6952005730659025</v>
      </c>
      <c r="BP4" s="373">
        <v>17.56</v>
      </c>
      <c r="BQ4" s="242">
        <f aca="true" t="shared" si="13" ref="BQ4:BQ67">BP4/BM4</f>
        <v>0.6289398280802292</v>
      </c>
      <c r="BS4" s="234"/>
    </row>
    <row r="5" spans="1:71" ht="15">
      <c r="A5" s="90">
        <v>104</v>
      </c>
      <c r="B5" s="235" t="s">
        <v>124</v>
      </c>
      <c r="C5" s="236">
        <v>3</v>
      </c>
      <c r="D5" s="237">
        <v>8.05</v>
      </c>
      <c r="E5" s="238">
        <v>8.09</v>
      </c>
      <c r="F5" s="238">
        <v>9.33</v>
      </c>
      <c r="G5" s="238">
        <v>8.51</v>
      </c>
      <c r="H5" s="238">
        <v>9.2</v>
      </c>
      <c r="I5" s="238">
        <v>8.81</v>
      </c>
      <c r="J5" s="238">
        <v>8.87</v>
      </c>
      <c r="K5" s="238">
        <v>8.35</v>
      </c>
      <c r="L5" s="238">
        <v>8.34</v>
      </c>
      <c r="M5" s="239">
        <v>8.41</v>
      </c>
      <c r="N5" s="237">
        <v>2.92</v>
      </c>
      <c r="O5" s="238">
        <v>3.41</v>
      </c>
      <c r="P5" s="238">
        <v>3.03</v>
      </c>
      <c r="Q5" s="238">
        <v>3.22</v>
      </c>
      <c r="R5" s="238">
        <v>3.56</v>
      </c>
      <c r="S5" s="238">
        <v>3.1</v>
      </c>
      <c r="T5" s="238">
        <v>3.42</v>
      </c>
      <c r="U5" s="238">
        <v>3.46</v>
      </c>
      <c r="V5" s="238">
        <v>3.44</v>
      </c>
      <c r="W5" s="240">
        <v>3.39</v>
      </c>
      <c r="X5" s="237">
        <f t="shared" si="2"/>
        <v>2.7568493150684934</v>
      </c>
      <c r="Y5" s="238">
        <f t="shared" si="3"/>
        <v>2.3724340175953076</v>
      </c>
      <c r="Z5" s="238">
        <f t="shared" si="4"/>
        <v>3.0792079207920793</v>
      </c>
      <c r="AA5" s="238">
        <f t="shared" si="5"/>
        <v>2.642857142857143</v>
      </c>
      <c r="AB5" s="238">
        <f t="shared" si="6"/>
        <v>2.584269662921348</v>
      </c>
      <c r="AC5" s="238">
        <f t="shared" si="7"/>
        <v>2.8419354838709676</v>
      </c>
      <c r="AD5" s="238">
        <f t="shared" si="8"/>
        <v>2.5935672514619883</v>
      </c>
      <c r="AE5" s="238">
        <f t="shared" si="9"/>
        <v>2.413294797687861</v>
      </c>
      <c r="AF5" s="238">
        <f t="shared" si="10"/>
        <v>2.4244186046511627</v>
      </c>
      <c r="AG5" s="239">
        <f t="shared" si="11"/>
        <v>2.4808259587020647</v>
      </c>
      <c r="AH5" s="235" t="s">
        <v>124</v>
      </c>
      <c r="AI5" s="237">
        <v>5.58</v>
      </c>
      <c r="AJ5" s="241">
        <v>6.03</v>
      </c>
      <c r="AK5" s="241">
        <v>6.04</v>
      </c>
      <c r="AL5" s="241">
        <v>6.34</v>
      </c>
      <c r="AM5" s="241">
        <v>6.27</v>
      </c>
      <c r="AN5" s="241">
        <v>5.63</v>
      </c>
      <c r="AO5" s="241">
        <v>5.8</v>
      </c>
      <c r="AP5" s="241">
        <v>6.27</v>
      </c>
      <c r="AQ5" s="238">
        <v>5.84</v>
      </c>
      <c r="AR5" s="239">
        <v>6.24</v>
      </c>
      <c r="AS5" s="237">
        <v>2.68</v>
      </c>
      <c r="AT5" s="241">
        <v>2.82</v>
      </c>
      <c r="AU5" s="241">
        <v>2.89</v>
      </c>
      <c r="AV5" s="241">
        <v>2.84</v>
      </c>
      <c r="AW5" s="241">
        <v>2.86</v>
      </c>
      <c r="AX5" s="241">
        <v>2.61</v>
      </c>
      <c r="AY5" s="241">
        <v>2.73</v>
      </c>
      <c r="AZ5" s="241">
        <v>2.84</v>
      </c>
      <c r="BA5" s="238">
        <v>2.93</v>
      </c>
      <c r="BB5" s="239">
        <v>2.89</v>
      </c>
      <c r="BC5" s="237">
        <f aca="true" t="shared" si="14" ref="BC5:BC25">AI5/AS5</f>
        <v>2.0820895522388057</v>
      </c>
      <c r="BD5" s="238">
        <f aca="true" t="shared" si="15" ref="BD5:BD25">AJ5/AT5</f>
        <v>2.138297872340426</v>
      </c>
      <c r="BE5" s="238">
        <f aca="true" t="shared" si="16" ref="BE5:BE25">AK5/AU5</f>
        <v>2.0899653979238755</v>
      </c>
      <c r="BF5" s="238">
        <f aca="true" t="shared" si="17" ref="BF5:BF25">AL5/AV5</f>
        <v>2.232394366197183</v>
      </c>
      <c r="BG5" s="238">
        <f aca="true" t="shared" si="18" ref="BG5:BG25">AM5/AW5</f>
        <v>2.192307692307692</v>
      </c>
      <c r="BH5" s="238">
        <f aca="true" t="shared" si="19" ref="BH5:BH25">AN5/AX5</f>
        <v>2.157088122605364</v>
      </c>
      <c r="BI5" s="238">
        <f aca="true" t="shared" si="20" ref="BI5:BI25">AO5/AY5</f>
        <v>2.1245421245421245</v>
      </c>
      <c r="BJ5" s="238">
        <f aca="true" t="shared" si="21" ref="BJ5:BJ25">AP5/AZ5</f>
        <v>2.2077464788732395</v>
      </c>
      <c r="BK5" s="238">
        <f aca="true" t="shared" si="22" ref="BK5:BK25">AQ5/BA5</f>
        <v>1.993174061433447</v>
      </c>
      <c r="BL5" s="238">
        <f aca="true" t="shared" si="23" ref="BL5:BL25">AR5/BB5</f>
        <v>2.15916955017301</v>
      </c>
      <c r="BM5" s="373">
        <f>2*14.44</f>
        <v>28.88</v>
      </c>
      <c r="BN5" s="373">
        <f>2*10.31</f>
        <v>20.62</v>
      </c>
      <c r="BO5" s="374">
        <f aca="true" t="shared" si="24" ref="BO5:BO68">BN5/BM5</f>
        <v>0.71398891966759</v>
      </c>
      <c r="BP5" s="373">
        <f>2*6.23</f>
        <v>12.46</v>
      </c>
      <c r="BQ5" s="242">
        <f t="shared" si="13"/>
        <v>0.43144044321329644</v>
      </c>
      <c r="BS5" s="234"/>
    </row>
    <row r="6" spans="1:71" ht="15">
      <c r="A6" s="90">
        <v>109</v>
      </c>
      <c r="B6" s="235" t="s">
        <v>125</v>
      </c>
      <c r="C6" s="236">
        <v>3</v>
      </c>
      <c r="D6" s="237">
        <v>6.06</v>
      </c>
      <c r="E6" s="238">
        <v>7.42</v>
      </c>
      <c r="F6" s="238">
        <v>6.48</v>
      </c>
      <c r="G6" s="238">
        <v>6.81</v>
      </c>
      <c r="H6" s="238">
        <v>6.51</v>
      </c>
      <c r="I6" s="238">
        <v>6.73</v>
      </c>
      <c r="J6" s="238">
        <v>6.92</v>
      </c>
      <c r="K6" s="238">
        <v>6.46</v>
      </c>
      <c r="L6" s="238">
        <v>6.8</v>
      </c>
      <c r="M6" s="239">
        <v>6.51</v>
      </c>
      <c r="N6" s="237">
        <v>2.98</v>
      </c>
      <c r="O6" s="238">
        <v>3.39</v>
      </c>
      <c r="P6" s="238">
        <v>3.3</v>
      </c>
      <c r="Q6" s="238">
        <v>3.24</v>
      </c>
      <c r="R6" s="238">
        <v>3.31</v>
      </c>
      <c r="S6" s="238">
        <v>3.42</v>
      </c>
      <c r="T6" s="238">
        <v>3.36</v>
      </c>
      <c r="U6" s="238">
        <v>3.18</v>
      </c>
      <c r="V6" s="238">
        <v>3.13</v>
      </c>
      <c r="W6" s="240">
        <v>3.33</v>
      </c>
      <c r="X6" s="237">
        <f t="shared" si="2"/>
        <v>2.033557046979866</v>
      </c>
      <c r="Y6" s="238">
        <f t="shared" si="3"/>
        <v>2.1887905604719764</v>
      </c>
      <c r="Z6" s="238">
        <f t="shared" si="4"/>
        <v>1.9636363636363638</v>
      </c>
      <c r="AA6" s="238">
        <f t="shared" si="5"/>
        <v>2.1018518518518516</v>
      </c>
      <c r="AB6" s="238">
        <f t="shared" si="6"/>
        <v>1.9667673716012084</v>
      </c>
      <c r="AC6" s="238">
        <f t="shared" si="7"/>
        <v>1.9678362573099417</v>
      </c>
      <c r="AD6" s="238">
        <f t="shared" si="8"/>
        <v>2.0595238095238098</v>
      </c>
      <c r="AE6" s="238">
        <f t="shared" si="9"/>
        <v>2.031446540880503</v>
      </c>
      <c r="AF6" s="238">
        <f t="shared" si="10"/>
        <v>2.1725239616613417</v>
      </c>
      <c r="AG6" s="239">
        <f t="shared" si="11"/>
        <v>1.9549549549549547</v>
      </c>
      <c r="AH6" s="235" t="s">
        <v>125</v>
      </c>
      <c r="AI6" s="237">
        <v>4.9</v>
      </c>
      <c r="AJ6" s="241">
        <v>4.49</v>
      </c>
      <c r="AK6" s="241">
        <v>4.62</v>
      </c>
      <c r="AL6" s="241">
        <v>4.92</v>
      </c>
      <c r="AM6" s="241">
        <v>4.65</v>
      </c>
      <c r="AN6" s="241">
        <v>4.95</v>
      </c>
      <c r="AO6" s="241">
        <v>4.97</v>
      </c>
      <c r="AP6" s="241">
        <v>4.76</v>
      </c>
      <c r="AQ6" s="238">
        <v>4.72</v>
      </c>
      <c r="AR6" s="239">
        <v>4.96</v>
      </c>
      <c r="AS6" s="237">
        <v>2.8</v>
      </c>
      <c r="AT6" s="241">
        <v>2.9</v>
      </c>
      <c r="AU6" s="241">
        <v>2.9</v>
      </c>
      <c r="AV6" s="241">
        <v>3.01</v>
      </c>
      <c r="AW6" s="241">
        <v>2.88</v>
      </c>
      <c r="AX6" s="241">
        <v>2.87</v>
      </c>
      <c r="AY6" s="241">
        <v>2.87</v>
      </c>
      <c r="AZ6" s="241">
        <v>2.88</v>
      </c>
      <c r="BA6" s="238">
        <v>2.83</v>
      </c>
      <c r="BB6" s="239">
        <v>2.84</v>
      </c>
      <c r="BC6" s="237">
        <f t="shared" si="14"/>
        <v>1.7500000000000002</v>
      </c>
      <c r="BD6" s="238">
        <f t="shared" si="15"/>
        <v>1.5482758620689656</v>
      </c>
      <c r="BE6" s="238">
        <f t="shared" si="16"/>
        <v>1.5931034482758621</v>
      </c>
      <c r="BF6" s="238">
        <f t="shared" si="17"/>
        <v>1.6345514950166113</v>
      </c>
      <c r="BG6" s="238">
        <f t="shared" si="18"/>
        <v>1.6145833333333335</v>
      </c>
      <c r="BH6" s="238">
        <f t="shared" si="19"/>
        <v>1.7247386759581882</v>
      </c>
      <c r="BI6" s="238">
        <f t="shared" si="20"/>
        <v>1.7317073170731705</v>
      </c>
      <c r="BJ6" s="238">
        <f t="shared" si="21"/>
        <v>1.6527777777777777</v>
      </c>
      <c r="BK6" s="238">
        <f t="shared" si="22"/>
        <v>1.6678445229681977</v>
      </c>
      <c r="BL6" s="238">
        <f t="shared" si="23"/>
        <v>1.7464788732394367</v>
      </c>
      <c r="BM6" s="373">
        <v>23.79</v>
      </c>
      <c r="BN6" s="373">
        <v>17.31</v>
      </c>
      <c r="BO6" s="374">
        <f t="shared" si="24"/>
        <v>0.7276166456494325</v>
      </c>
      <c r="BP6" s="373">
        <v>16.12</v>
      </c>
      <c r="BQ6" s="242">
        <f t="shared" si="13"/>
        <v>0.6775956284153006</v>
      </c>
      <c r="BS6" s="234"/>
    </row>
    <row r="7" spans="1:71" ht="15">
      <c r="A7" s="90">
        <v>118</v>
      </c>
      <c r="B7" s="243" t="s">
        <v>126</v>
      </c>
      <c r="C7" s="236">
        <v>1</v>
      </c>
      <c r="D7" s="237">
        <v>7.96</v>
      </c>
      <c r="E7" s="238">
        <v>9.54</v>
      </c>
      <c r="F7" s="238">
        <v>8.34</v>
      </c>
      <c r="G7" s="238">
        <v>9.11</v>
      </c>
      <c r="H7" s="238">
        <v>9.38</v>
      </c>
      <c r="I7" s="238">
        <v>9.86</v>
      </c>
      <c r="J7" s="238">
        <v>9.38</v>
      </c>
      <c r="K7" s="238">
        <v>9.71</v>
      </c>
      <c r="L7" s="238">
        <v>8.86</v>
      </c>
      <c r="M7" s="239">
        <v>9.62</v>
      </c>
      <c r="N7" s="237">
        <v>2.51</v>
      </c>
      <c r="O7" s="238">
        <v>2.7</v>
      </c>
      <c r="P7" s="238">
        <v>2.34</v>
      </c>
      <c r="Q7" s="238">
        <v>2.57</v>
      </c>
      <c r="R7" s="238">
        <v>2.51</v>
      </c>
      <c r="S7" s="238">
        <v>2.76</v>
      </c>
      <c r="T7" s="238">
        <v>2.67</v>
      </c>
      <c r="U7" s="238">
        <v>2.64</v>
      </c>
      <c r="V7" s="238">
        <v>2.74</v>
      </c>
      <c r="W7" s="240">
        <v>2.84</v>
      </c>
      <c r="X7" s="237">
        <f t="shared" si="2"/>
        <v>3.171314741035857</v>
      </c>
      <c r="Y7" s="238">
        <f t="shared" si="3"/>
        <v>3.5333333333333328</v>
      </c>
      <c r="Z7" s="238">
        <f t="shared" si="4"/>
        <v>3.5641025641025643</v>
      </c>
      <c r="AA7" s="238">
        <f t="shared" si="5"/>
        <v>3.544747081712062</v>
      </c>
      <c r="AB7" s="238">
        <f t="shared" si="6"/>
        <v>3.737051792828686</v>
      </c>
      <c r="AC7" s="238">
        <f t="shared" si="7"/>
        <v>3.572463768115942</v>
      </c>
      <c r="AD7" s="238">
        <f t="shared" si="8"/>
        <v>3.5131086142322103</v>
      </c>
      <c r="AE7" s="238">
        <f t="shared" si="9"/>
        <v>3.678030303030303</v>
      </c>
      <c r="AF7" s="238">
        <f t="shared" si="10"/>
        <v>3.233576642335766</v>
      </c>
      <c r="AG7" s="239">
        <f t="shared" si="11"/>
        <v>3.3873239436619715</v>
      </c>
      <c r="AH7" s="243" t="s">
        <v>126</v>
      </c>
      <c r="AI7" s="237">
        <v>7.26</v>
      </c>
      <c r="AJ7" s="241">
        <v>6.6</v>
      </c>
      <c r="AK7" s="241">
        <v>6.94</v>
      </c>
      <c r="AL7" s="241">
        <v>7.35</v>
      </c>
      <c r="AM7" s="241">
        <v>7.35</v>
      </c>
      <c r="AN7" s="241">
        <v>7.04</v>
      </c>
      <c r="AO7" s="241">
        <v>6.89</v>
      </c>
      <c r="AP7" s="241">
        <v>7.02</v>
      </c>
      <c r="AQ7" s="238">
        <v>7.36</v>
      </c>
      <c r="AR7" s="239">
        <v>6.97</v>
      </c>
      <c r="AS7" s="237">
        <v>2.42</v>
      </c>
      <c r="AT7" s="241">
        <v>2.24</v>
      </c>
      <c r="AU7" s="241">
        <v>2.31</v>
      </c>
      <c r="AV7" s="241">
        <v>2.31</v>
      </c>
      <c r="AW7" s="241">
        <v>2.34</v>
      </c>
      <c r="AX7" s="241">
        <v>2.38</v>
      </c>
      <c r="AY7" s="241">
        <v>2.25</v>
      </c>
      <c r="AZ7" s="241">
        <v>2.33</v>
      </c>
      <c r="BA7" s="238">
        <v>2.34</v>
      </c>
      <c r="BB7" s="239">
        <v>2.3</v>
      </c>
      <c r="BC7" s="237">
        <f t="shared" si="14"/>
        <v>3</v>
      </c>
      <c r="BD7" s="238">
        <f t="shared" si="15"/>
        <v>2.946428571428571</v>
      </c>
      <c r="BE7" s="238">
        <f t="shared" si="16"/>
        <v>3.0043290043290045</v>
      </c>
      <c r="BF7" s="238">
        <f t="shared" si="17"/>
        <v>3.1818181818181817</v>
      </c>
      <c r="BG7" s="238">
        <f t="shared" si="18"/>
        <v>3.141025641025641</v>
      </c>
      <c r="BH7" s="238">
        <f t="shared" si="19"/>
        <v>2.957983193277311</v>
      </c>
      <c r="BI7" s="238">
        <f t="shared" si="20"/>
        <v>3.062222222222222</v>
      </c>
      <c r="BJ7" s="238">
        <f t="shared" si="21"/>
        <v>3.0128755364806863</v>
      </c>
      <c r="BK7" s="238">
        <f t="shared" si="22"/>
        <v>3.1452991452991457</v>
      </c>
      <c r="BL7" s="238">
        <f t="shared" si="23"/>
        <v>3.0304347826086957</v>
      </c>
      <c r="BM7" s="373">
        <v>24.26</v>
      </c>
      <c r="BN7" s="373">
        <v>17</v>
      </c>
      <c r="BO7" s="374">
        <f t="shared" si="24"/>
        <v>0.7007419620774937</v>
      </c>
      <c r="BP7" s="373">
        <v>15.55</v>
      </c>
      <c r="BQ7" s="242">
        <f t="shared" si="13"/>
        <v>0.6409727947238252</v>
      </c>
      <c r="BS7" s="234"/>
    </row>
    <row r="8" spans="1:71" ht="15">
      <c r="A8" s="90">
        <v>121</v>
      </c>
      <c r="B8" s="243" t="s">
        <v>127</v>
      </c>
      <c r="C8" s="236">
        <v>1</v>
      </c>
      <c r="D8" s="237">
        <v>9.33</v>
      </c>
      <c r="E8" s="238">
        <v>8.78</v>
      </c>
      <c r="F8" s="238">
        <v>8.63</v>
      </c>
      <c r="G8" s="238">
        <v>9.29</v>
      </c>
      <c r="H8" s="238">
        <v>9.87</v>
      </c>
      <c r="I8" s="238">
        <v>9.6</v>
      </c>
      <c r="J8" s="238">
        <v>8.56</v>
      </c>
      <c r="K8" s="238">
        <v>9.68</v>
      </c>
      <c r="L8" s="238">
        <v>9.2</v>
      </c>
      <c r="M8" s="239">
        <v>9.18</v>
      </c>
      <c r="N8" s="237">
        <v>2.75</v>
      </c>
      <c r="O8" s="238">
        <v>2.72</v>
      </c>
      <c r="P8" s="238">
        <v>2.72</v>
      </c>
      <c r="Q8" s="238">
        <v>2.45</v>
      </c>
      <c r="R8" s="238">
        <v>2.69</v>
      </c>
      <c r="S8" s="238">
        <v>2.67</v>
      </c>
      <c r="T8" s="238">
        <v>2.65</v>
      </c>
      <c r="U8" s="238">
        <v>2.76</v>
      </c>
      <c r="V8" s="238">
        <v>2.7</v>
      </c>
      <c r="W8" s="240">
        <v>2.73</v>
      </c>
      <c r="X8" s="237">
        <f t="shared" si="2"/>
        <v>3.3927272727272726</v>
      </c>
      <c r="Y8" s="238">
        <f t="shared" si="3"/>
        <v>3.227941176470588</v>
      </c>
      <c r="Z8" s="238">
        <f t="shared" si="4"/>
        <v>3.172794117647059</v>
      </c>
      <c r="AA8" s="238">
        <f t="shared" si="5"/>
        <v>3.791836734693877</v>
      </c>
      <c r="AB8" s="238">
        <f t="shared" si="6"/>
        <v>3.6691449814126393</v>
      </c>
      <c r="AC8" s="238">
        <f t="shared" si="7"/>
        <v>3.595505617977528</v>
      </c>
      <c r="AD8" s="238">
        <f t="shared" si="8"/>
        <v>3.230188679245283</v>
      </c>
      <c r="AE8" s="238">
        <f t="shared" si="9"/>
        <v>3.5072463768115942</v>
      </c>
      <c r="AF8" s="238">
        <f t="shared" si="10"/>
        <v>3.407407407407407</v>
      </c>
      <c r="AG8" s="239">
        <f t="shared" si="11"/>
        <v>3.3626373626373627</v>
      </c>
      <c r="AH8" s="243" t="s">
        <v>127</v>
      </c>
      <c r="AI8" s="237">
        <v>6.28</v>
      </c>
      <c r="AJ8" s="241">
        <v>6.12</v>
      </c>
      <c r="AK8" s="241">
        <v>6.59</v>
      </c>
      <c r="AL8" s="241">
        <v>6.49</v>
      </c>
      <c r="AM8" s="241">
        <v>7.36</v>
      </c>
      <c r="AN8" s="241">
        <v>7.18</v>
      </c>
      <c r="AO8" s="241">
        <v>7.11</v>
      </c>
      <c r="AP8" s="241">
        <v>7.07</v>
      </c>
      <c r="AQ8" s="238">
        <v>7.45</v>
      </c>
      <c r="AR8" s="239">
        <v>7.1</v>
      </c>
      <c r="AS8" s="237">
        <v>2.42</v>
      </c>
      <c r="AT8" s="241">
        <v>2.3</v>
      </c>
      <c r="AU8" s="241">
        <v>2.25</v>
      </c>
      <c r="AV8" s="241">
        <v>2.24</v>
      </c>
      <c r="AW8" s="241">
        <v>2.4</v>
      </c>
      <c r="AX8" s="241">
        <v>2.29</v>
      </c>
      <c r="AY8" s="241">
        <v>2.36</v>
      </c>
      <c r="AZ8" s="241">
        <v>2.37</v>
      </c>
      <c r="BA8" s="238">
        <v>2.36</v>
      </c>
      <c r="BB8" s="239">
        <v>2.4</v>
      </c>
      <c r="BC8" s="237">
        <f t="shared" si="14"/>
        <v>2.59504132231405</v>
      </c>
      <c r="BD8" s="238">
        <f t="shared" si="15"/>
        <v>2.6608695652173915</v>
      </c>
      <c r="BE8" s="238">
        <f t="shared" si="16"/>
        <v>2.928888888888889</v>
      </c>
      <c r="BF8" s="238">
        <f t="shared" si="17"/>
        <v>2.8973214285714284</v>
      </c>
      <c r="BG8" s="238">
        <f t="shared" si="18"/>
        <v>3.066666666666667</v>
      </c>
      <c r="BH8" s="238">
        <f t="shared" si="19"/>
        <v>3.1353711790393013</v>
      </c>
      <c r="BI8" s="238">
        <f t="shared" si="20"/>
        <v>3.01271186440678</v>
      </c>
      <c r="BJ8" s="238">
        <f t="shared" si="21"/>
        <v>2.9831223628691985</v>
      </c>
      <c r="BK8" s="238">
        <f t="shared" si="22"/>
        <v>3.1567796610169494</v>
      </c>
      <c r="BL8" s="238">
        <f t="shared" si="23"/>
        <v>2.9583333333333335</v>
      </c>
      <c r="BM8" s="373">
        <v>24.14</v>
      </c>
      <c r="BN8" s="373">
        <v>16.77</v>
      </c>
      <c r="BO8" s="374">
        <f t="shared" si="24"/>
        <v>0.6946975973487987</v>
      </c>
      <c r="BP8" s="373">
        <v>15.6</v>
      </c>
      <c r="BQ8" s="242">
        <f t="shared" si="13"/>
        <v>0.6462303231151615</v>
      </c>
      <c r="BS8" s="234"/>
    </row>
    <row r="9" spans="1:71" ht="15">
      <c r="A9" s="90">
        <v>122</v>
      </c>
      <c r="B9" s="243" t="s">
        <v>128</v>
      </c>
      <c r="C9" s="236">
        <v>1</v>
      </c>
      <c r="D9" s="237">
        <v>8.64</v>
      </c>
      <c r="E9" s="238">
        <v>8.38</v>
      </c>
      <c r="F9" s="238">
        <v>8.39</v>
      </c>
      <c r="G9" s="238">
        <v>8.5</v>
      </c>
      <c r="H9" s="238">
        <v>8.53</v>
      </c>
      <c r="I9" s="238">
        <v>8.34</v>
      </c>
      <c r="J9" s="238">
        <v>9.1</v>
      </c>
      <c r="K9" s="238">
        <v>8.47</v>
      </c>
      <c r="L9" s="238">
        <v>9.76</v>
      </c>
      <c r="M9" s="239">
        <v>8.62</v>
      </c>
      <c r="N9" s="237">
        <v>2.43</v>
      </c>
      <c r="O9" s="238">
        <v>2.5</v>
      </c>
      <c r="P9" s="238">
        <v>2.51</v>
      </c>
      <c r="Q9" s="238">
        <v>2.46</v>
      </c>
      <c r="R9" s="238">
        <v>2.22</v>
      </c>
      <c r="S9" s="238">
        <v>2.48</v>
      </c>
      <c r="T9" s="238">
        <v>2.34</v>
      </c>
      <c r="U9" s="238">
        <v>2.56</v>
      </c>
      <c r="V9" s="238">
        <v>2.69</v>
      </c>
      <c r="W9" s="240">
        <v>2.47</v>
      </c>
      <c r="X9" s="237">
        <f t="shared" si="2"/>
        <v>3.5555555555555554</v>
      </c>
      <c r="Y9" s="238">
        <f t="shared" si="3"/>
        <v>3.3520000000000003</v>
      </c>
      <c r="Z9" s="238">
        <f t="shared" si="4"/>
        <v>3.3426294820717137</v>
      </c>
      <c r="AA9" s="238">
        <f t="shared" si="5"/>
        <v>3.4552845528455287</v>
      </c>
      <c r="AB9" s="238">
        <f t="shared" si="6"/>
        <v>3.8423423423423415</v>
      </c>
      <c r="AC9" s="238">
        <f t="shared" si="7"/>
        <v>3.3629032258064515</v>
      </c>
      <c r="AD9" s="238">
        <f t="shared" si="8"/>
        <v>3.888888888888889</v>
      </c>
      <c r="AE9" s="238">
        <f t="shared" si="9"/>
        <v>3.30859375</v>
      </c>
      <c r="AF9" s="238">
        <f t="shared" si="10"/>
        <v>3.6282527881040894</v>
      </c>
      <c r="AG9" s="239">
        <f t="shared" si="11"/>
        <v>3.489878542510121</v>
      </c>
      <c r="AH9" s="243" t="s">
        <v>128</v>
      </c>
      <c r="AI9" s="237">
        <v>7.03</v>
      </c>
      <c r="AJ9" s="241">
        <v>6.47</v>
      </c>
      <c r="AK9" s="241">
        <v>6.96</v>
      </c>
      <c r="AL9" s="241">
        <v>7.11</v>
      </c>
      <c r="AM9" s="241">
        <v>6.75</v>
      </c>
      <c r="AN9" s="241">
        <v>7.36</v>
      </c>
      <c r="AO9" s="241">
        <v>7.03</v>
      </c>
      <c r="AP9" s="241">
        <v>6.86</v>
      </c>
      <c r="AQ9" s="238">
        <v>6.5</v>
      </c>
      <c r="AR9" s="239">
        <v>6.07</v>
      </c>
      <c r="AS9" s="237">
        <v>2.16</v>
      </c>
      <c r="AT9" s="241">
        <v>2.1</v>
      </c>
      <c r="AU9" s="241">
        <v>2.22</v>
      </c>
      <c r="AV9" s="241">
        <v>2.19</v>
      </c>
      <c r="AW9" s="241">
        <v>2.14</v>
      </c>
      <c r="AX9" s="241">
        <v>2.2</v>
      </c>
      <c r="AY9" s="241">
        <v>2.11</v>
      </c>
      <c r="AZ9" s="241">
        <v>2.1</v>
      </c>
      <c r="BA9" s="238">
        <v>2.13</v>
      </c>
      <c r="BB9" s="239">
        <v>2.04</v>
      </c>
      <c r="BC9" s="237">
        <f t="shared" si="14"/>
        <v>3.2546296296296293</v>
      </c>
      <c r="BD9" s="238">
        <f t="shared" si="15"/>
        <v>3.0809523809523807</v>
      </c>
      <c r="BE9" s="238">
        <f t="shared" si="16"/>
        <v>3.1351351351351346</v>
      </c>
      <c r="BF9" s="238">
        <f t="shared" si="17"/>
        <v>3.2465753424657535</v>
      </c>
      <c r="BG9" s="238">
        <f t="shared" si="18"/>
        <v>3.1542056074766354</v>
      </c>
      <c r="BH9" s="238">
        <f t="shared" si="19"/>
        <v>3.3454545454545452</v>
      </c>
      <c r="BI9" s="238">
        <f t="shared" si="20"/>
        <v>3.3317535545023698</v>
      </c>
      <c r="BJ9" s="238">
        <f t="shared" si="21"/>
        <v>3.2666666666666666</v>
      </c>
      <c r="BK9" s="238">
        <f t="shared" si="22"/>
        <v>3.051643192488263</v>
      </c>
      <c r="BL9" s="238">
        <f t="shared" si="23"/>
        <v>2.9754901960784315</v>
      </c>
      <c r="BM9" s="373">
        <v>20.16</v>
      </c>
      <c r="BN9" s="373">
        <v>14.72</v>
      </c>
      <c r="BO9" s="374">
        <f t="shared" si="24"/>
        <v>0.7301587301587302</v>
      </c>
      <c r="BP9" s="373">
        <v>14.43</v>
      </c>
      <c r="BQ9" s="242">
        <f t="shared" si="13"/>
        <v>0.7157738095238095</v>
      </c>
      <c r="BS9" s="234"/>
    </row>
    <row r="10" spans="1:71" ht="15">
      <c r="A10" s="90">
        <v>167</v>
      </c>
      <c r="B10" s="243" t="s">
        <v>129</v>
      </c>
      <c r="C10" s="236">
        <v>1</v>
      </c>
      <c r="D10" s="237">
        <v>9.74</v>
      </c>
      <c r="E10" s="238">
        <v>9.91</v>
      </c>
      <c r="F10" s="238">
        <v>9.48</v>
      </c>
      <c r="G10" s="238">
        <v>9.06</v>
      </c>
      <c r="H10" s="238">
        <v>10.49</v>
      </c>
      <c r="I10" s="238">
        <v>9.5</v>
      </c>
      <c r="J10" s="238">
        <v>10.29</v>
      </c>
      <c r="K10" s="238">
        <v>10.04</v>
      </c>
      <c r="L10" s="238">
        <v>10.13</v>
      </c>
      <c r="M10" s="239">
        <v>10.3</v>
      </c>
      <c r="N10" s="237">
        <v>2.77</v>
      </c>
      <c r="O10" s="238">
        <v>3.25</v>
      </c>
      <c r="P10" s="238">
        <v>3.2</v>
      </c>
      <c r="Q10" s="238">
        <v>2.89</v>
      </c>
      <c r="R10" s="238">
        <v>3.03</v>
      </c>
      <c r="S10" s="238">
        <v>2.92</v>
      </c>
      <c r="T10" s="238">
        <v>3.18</v>
      </c>
      <c r="U10" s="238">
        <v>2.87</v>
      </c>
      <c r="V10" s="238">
        <v>2.96</v>
      </c>
      <c r="W10" s="240">
        <v>3.2</v>
      </c>
      <c r="X10" s="237">
        <f t="shared" si="2"/>
        <v>3.516245487364621</v>
      </c>
      <c r="Y10" s="238">
        <f t="shared" si="3"/>
        <v>3.0492307692307694</v>
      </c>
      <c r="Z10" s="238">
        <f t="shared" si="4"/>
        <v>2.9625</v>
      </c>
      <c r="AA10" s="238">
        <f t="shared" si="5"/>
        <v>3.134948096885813</v>
      </c>
      <c r="AB10" s="238">
        <f t="shared" si="6"/>
        <v>3.4620462046204623</v>
      </c>
      <c r="AC10" s="238">
        <f t="shared" si="7"/>
        <v>3.2534246575342465</v>
      </c>
      <c r="AD10" s="238">
        <f t="shared" si="8"/>
        <v>3.235849056603773</v>
      </c>
      <c r="AE10" s="238">
        <f t="shared" si="9"/>
        <v>3.498257839721254</v>
      </c>
      <c r="AF10" s="238">
        <f t="shared" si="10"/>
        <v>3.422297297297298</v>
      </c>
      <c r="AG10" s="239">
        <f t="shared" si="11"/>
        <v>3.21875</v>
      </c>
      <c r="AH10" s="243" t="s">
        <v>129</v>
      </c>
      <c r="AI10" s="237">
        <v>7.59</v>
      </c>
      <c r="AJ10" s="241">
        <v>7.61</v>
      </c>
      <c r="AK10" s="241">
        <v>6.57</v>
      </c>
      <c r="AL10" s="241">
        <v>7.61</v>
      </c>
      <c r="AM10" s="241">
        <v>7.54</v>
      </c>
      <c r="AN10" s="241">
        <v>7.36</v>
      </c>
      <c r="AO10" s="241">
        <v>7.1</v>
      </c>
      <c r="AP10" s="241">
        <v>7.46</v>
      </c>
      <c r="AQ10" s="238">
        <v>7.43</v>
      </c>
      <c r="AR10" s="239">
        <v>7.39</v>
      </c>
      <c r="AS10" s="237">
        <v>2.73</v>
      </c>
      <c r="AT10" s="241">
        <v>2.69</v>
      </c>
      <c r="AU10" s="241">
        <v>2.54</v>
      </c>
      <c r="AV10" s="241">
        <v>2.62</v>
      </c>
      <c r="AW10" s="241">
        <v>2.66</v>
      </c>
      <c r="AX10" s="241">
        <v>2.68</v>
      </c>
      <c r="AY10" s="241">
        <v>2.6</v>
      </c>
      <c r="AZ10" s="241">
        <v>2.62</v>
      </c>
      <c r="BA10" s="238">
        <v>2.61</v>
      </c>
      <c r="BB10" s="239">
        <v>2.69</v>
      </c>
      <c r="BC10" s="237">
        <f t="shared" si="14"/>
        <v>2.78021978021978</v>
      </c>
      <c r="BD10" s="238">
        <f t="shared" si="15"/>
        <v>2.828996282527881</v>
      </c>
      <c r="BE10" s="238">
        <f t="shared" si="16"/>
        <v>2.5866141732283467</v>
      </c>
      <c r="BF10" s="238">
        <f t="shared" si="17"/>
        <v>2.904580152671756</v>
      </c>
      <c r="BG10" s="238">
        <f t="shared" si="18"/>
        <v>2.834586466165413</v>
      </c>
      <c r="BH10" s="238">
        <f t="shared" si="19"/>
        <v>2.746268656716418</v>
      </c>
      <c r="BI10" s="238">
        <f t="shared" si="20"/>
        <v>2.7307692307692304</v>
      </c>
      <c r="BJ10" s="238">
        <f t="shared" si="21"/>
        <v>2.847328244274809</v>
      </c>
      <c r="BK10" s="238">
        <f t="shared" si="22"/>
        <v>2.846743295019157</v>
      </c>
      <c r="BL10" s="238">
        <f t="shared" si="23"/>
        <v>2.7472118959107807</v>
      </c>
      <c r="BM10" s="373">
        <v>31.51</v>
      </c>
      <c r="BN10" s="373">
        <v>22.09</v>
      </c>
      <c r="BO10" s="374">
        <f t="shared" si="24"/>
        <v>0.7010472865756903</v>
      </c>
      <c r="BP10" s="373">
        <v>21.31</v>
      </c>
      <c r="BQ10" s="242">
        <f t="shared" si="13"/>
        <v>0.6762932402411932</v>
      </c>
      <c r="BS10" s="234"/>
    </row>
    <row r="11" spans="1:71" ht="15">
      <c r="A11" s="90">
        <v>176</v>
      </c>
      <c r="B11" s="243" t="s">
        <v>130</v>
      </c>
      <c r="C11" s="236">
        <v>1</v>
      </c>
      <c r="D11" s="237">
        <v>10.64</v>
      </c>
      <c r="E11" s="238">
        <v>9.64</v>
      </c>
      <c r="F11" s="238">
        <v>10.11</v>
      </c>
      <c r="G11" s="238">
        <v>10.13</v>
      </c>
      <c r="H11" s="238">
        <v>10.45</v>
      </c>
      <c r="I11" s="238">
        <v>10.18</v>
      </c>
      <c r="J11" s="238">
        <v>10.94</v>
      </c>
      <c r="K11" s="238">
        <v>9.39</v>
      </c>
      <c r="L11" s="238">
        <v>9.82</v>
      </c>
      <c r="M11" s="239">
        <v>10.71</v>
      </c>
      <c r="N11" s="237">
        <v>2.74</v>
      </c>
      <c r="O11" s="238">
        <v>2.42</v>
      </c>
      <c r="P11" s="238">
        <v>2.67</v>
      </c>
      <c r="Q11" s="238">
        <v>2.73</v>
      </c>
      <c r="R11" s="238">
        <v>2.72</v>
      </c>
      <c r="S11" s="238">
        <v>2.58</v>
      </c>
      <c r="T11" s="238">
        <v>2.6</v>
      </c>
      <c r="U11" s="238">
        <v>2.36</v>
      </c>
      <c r="V11" s="238">
        <v>2.45</v>
      </c>
      <c r="W11" s="240">
        <v>2.81</v>
      </c>
      <c r="X11" s="237">
        <f t="shared" si="2"/>
        <v>3.8832116788321165</v>
      </c>
      <c r="Y11" s="238">
        <f t="shared" si="3"/>
        <v>3.983471074380166</v>
      </c>
      <c r="Z11" s="238">
        <f t="shared" si="4"/>
        <v>3.786516853932584</v>
      </c>
      <c r="AA11" s="238">
        <f t="shared" si="5"/>
        <v>3.7106227106227108</v>
      </c>
      <c r="AB11" s="238">
        <f t="shared" si="6"/>
        <v>3.841911764705882</v>
      </c>
      <c r="AC11" s="238">
        <f t="shared" si="7"/>
        <v>3.945736434108527</v>
      </c>
      <c r="AD11" s="238">
        <f t="shared" si="8"/>
        <v>4.207692307692307</v>
      </c>
      <c r="AE11" s="238">
        <f t="shared" si="9"/>
        <v>3.978813559322034</v>
      </c>
      <c r="AF11" s="238">
        <f t="shared" si="10"/>
        <v>4.0081632653061225</v>
      </c>
      <c r="AG11" s="239">
        <f t="shared" si="11"/>
        <v>3.811387900355872</v>
      </c>
      <c r="AH11" s="243" t="s">
        <v>130</v>
      </c>
      <c r="AI11" s="237">
        <v>7.28</v>
      </c>
      <c r="AJ11" s="241">
        <v>6.96</v>
      </c>
      <c r="AK11" s="241">
        <v>7.29</v>
      </c>
      <c r="AL11" s="241">
        <v>7.47</v>
      </c>
      <c r="AM11" s="241">
        <v>6.99</v>
      </c>
      <c r="AN11" s="241">
        <v>7.18</v>
      </c>
      <c r="AO11" s="241">
        <v>7.25</v>
      </c>
      <c r="AP11" s="241">
        <v>7.38</v>
      </c>
      <c r="AQ11" s="238">
        <v>7.75</v>
      </c>
      <c r="AR11" s="239">
        <v>6.89</v>
      </c>
      <c r="AS11" s="237">
        <v>2.14</v>
      </c>
      <c r="AT11" s="241">
        <v>2.26</v>
      </c>
      <c r="AU11" s="241">
        <v>2.15</v>
      </c>
      <c r="AV11" s="241">
        <v>2.2</v>
      </c>
      <c r="AW11" s="241">
        <v>2.03</v>
      </c>
      <c r="AX11" s="241">
        <v>2</v>
      </c>
      <c r="AY11" s="241">
        <v>2.03</v>
      </c>
      <c r="AZ11" s="241">
        <v>2.23</v>
      </c>
      <c r="BA11" s="238">
        <v>2.26</v>
      </c>
      <c r="BB11" s="239">
        <v>2.05</v>
      </c>
      <c r="BC11" s="237">
        <f t="shared" si="14"/>
        <v>3.4018691588785046</v>
      </c>
      <c r="BD11" s="238">
        <f t="shared" si="15"/>
        <v>3.0796460176991154</v>
      </c>
      <c r="BE11" s="238">
        <f t="shared" si="16"/>
        <v>3.390697674418605</v>
      </c>
      <c r="BF11" s="238">
        <f t="shared" si="17"/>
        <v>3.395454545454545</v>
      </c>
      <c r="BG11" s="238">
        <f t="shared" si="18"/>
        <v>3.443349753694582</v>
      </c>
      <c r="BH11" s="238">
        <f t="shared" si="19"/>
        <v>3.59</v>
      </c>
      <c r="BI11" s="238">
        <f t="shared" si="20"/>
        <v>3.5714285714285716</v>
      </c>
      <c r="BJ11" s="238">
        <f t="shared" si="21"/>
        <v>3.309417040358744</v>
      </c>
      <c r="BK11" s="238">
        <f t="shared" si="22"/>
        <v>3.429203539823009</v>
      </c>
      <c r="BL11" s="238">
        <f t="shared" si="23"/>
        <v>3.360975609756098</v>
      </c>
      <c r="BM11" s="373">
        <f>2*11.71</f>
        <v>23.42</v>
      </c>
      <c r="BN11" s="373">
        <f>2*7.76</f>
        <v>15.52</v>
      </c>
      <c r="BO11" s="374">
        <f t="shared" si="24"/>
        <v>0.6626814688300597</v>
      </c>
      <c r="BP11" s="373">
        <f>2*7.06</f>
        <v>14.12</v>
      </c>
      <c r="BQ11" s="242">
        <f t="shared" si="13"/>
        <v>0.6029035012809564</v>
      </c>
      <c r="BS11" s="234"/>
    </row>
    <row r="12" spans="1:71" ht="15">
      <c r="A12" s="90">
        <v>323</v>
      </c>
      <c r="B12" s="243" t="s">
        <v>131</v>
      </c>
      <c r="C12" s="236">
        <v>1</v>
      </c>
      <c r="D12" s="237">
        <v>8.07</v>
      </c>
      <c r="E12" s="238">
        <v>9.67</v>
      </c>
      <c r="F12" s="238">
        <v>10.03</v>
      </c>
      <c r="G12" s="238">
        <v>8.39</v>
      </c>
      <c r="H12" s="238">
        <v>9.72</v>
      </c>
      <c r="I12" s="238">
        <v>9.31</v>
      </c>
      <c r="J12" s="238">
        <v>8.86</v>
      </c>
      <c r="K12" s="238">
        <v>10.15</v>
      </c>
      <c r="L12" s="238">
        <v>8.42</v>
      </c>
      <c r="M12" s="239">
        <v>7.9</v>
      </c>
      <c r="N12" s="237">
        <v>2.57</v>
      </c>
      <c r="O12" s="238">
        <v>2.56</v>
      </c>
      <c r="P12" s="238">
        <v>2.73</v>
      </c>
      <c r="Q12" s="238">
        <v>2.54</v>
      </c>
      <c r="R12" s="238">
        <v>2.57</v>
      </c>
      <c r="S12" s="238">
        <v>2.65</v>
      </c>
      <c r="T12" s="238">
        <v>2.51</v>
      </c>
      <c r="U12" s="238">
        <v>2.56</v>
      </c>
      <c r="V12" s="238">
        <v>2.69</v>
      </c>
      <c r="W12" s="240">
        <v>2.47</v>
      </c>
      <c r="X12" s="237">
        <f t="shared" si="2"/>
        <v>3.1400778210116735</v>
      </c>
      <c r="Y12" s="238">
        <f t="shared" si="3"/>
        <v>3.77734375</v>
      </c>
      <c r="Z12" s="238">
        <f t="shared" si="4"/>
        <v>3.673992673992674</v>
      </c>
      <c r="AA12" s="238">
        <f t="shared" si="5"/>
        <v>3.303149606299213</v>
      </c>
      <c r="AB12" s="238">
        <f t="shared" si="6"/>
        <v>3.7821011673151754</v>
      </c>
      <c r="AC12" s="238">
        <f t="shared" si="7"/>
        <v>3.5132075471698117</v>
      </c>
      <c r="AD12" s="238">
        <f t="shared" si="8"/>
        <v>3.5298804780876494</v>
      </c>
      <c r="AE12" s="238">
        <f t="shared" si="9"/>
        <v>3.96484375</v>
      </c>
      <c r="AF12" s="238">
        <f t="shared" si="10"/>
        <v>3.130111524163569</v>
      </c>
      <c r="AG12" s="239">
        <f t="shared" si="11"/>
        <v>3.198380566801619</v>
      </c>
      <c r="AH12" s="243" t="s">
        <v>131</v>
      </c>
      <c r="AI12" s="237">
        <v>7.56</v>
      </c>
      <c r="AJ12" s="241">
        <v>5.89</v>
      </c>
      <c r="AK12" s="241">
        <v>7.19</v>
      </c>
      <c r="AL12" s="241">
        <v>6.09</v>
      </c>
      <c r="AM12" s="241">
        <v>5.68</v>
      </c>
      <c r="AN12" s="241">
        <v>5.59</v>
      </c>
      <c r="AO12" s="241">
        <v>5.9</v>
      </c>
      <c r="AP12" s="241">
        <v>6.96</v>
      </c>
      <c r="AQ12" s="238">
        <v>6.69</v>
      </c>
      <c r="AR12" s="239">
        <v>6.87</v>
      </c>
      <c r="AS12" s="237">
        <v>2.2</v>
      </c>
      <c r="AT12" s="241">
        <v>2.19</v>
      </c>
      <c r="AU12" s="241">
        <v>2.24</v>
      </c>
      <c r="AV12" s="241">
        <v>2.04</v>
      </c>
      <c r="AW12" s="241">
        <v>2.16</v>
      </c>
      <c r="AX12" s="241">
        <v>2.16</v>
      </c>
      <c r="AY12" s="241">
        <v>2.07</v>
      </c>
      <c r="AZ12" s="241">
        <v>2.24</v>
      </c>
      <c r="BA12" s="238">
        <v>2.2</v>
      </c>
      <c r="BB12" s="239">
        <v>2.09</v>
      </c>
      <c r="BC12" s="237">
        <f t="shared" si="14"/>
        <v>3.436363636363636</v>
      </c>
      <c r="BD12" s="238">
        <f t="shared" si="15"/>
        <v>2.689497716894977</v>
      </c>
      <c r="BE12" s="238">
        <f t="shared" si="16"/>
        <v>3.2098214285714284</v>
      </c>
      <c r="BF12" s="238">
        <f t="shared" si="17"/>
        <v>2.985294117647059</v>
      </c>
      <c r="BG12" s="238">
        <f t="shared" si="18"/>
        <v>2.6296296296296293</v>
      </c>
      <c r="BH12" s="238">
        <f t="shared" si="19"/>
        <v>2.587962962962963</v>
      </c>
      <c r="BI12" s="238">
        <f t="shared" si="20"/>
        <v>2.85024154589372</v>
      </c>
      <c r="BJ12" s="238">
        <f t="shared" si="21"/>
        <v>3.1071428571428568</v>
      </c>
      <c r="BK12" s="238">
        <f t="shared" si="22"/>
        <v>3.040909090909091</v>
      </c>
      <c r="BL12" s="238">
        <f t="shared" si="23"/>
        <v>3.287081339712919</v>
      </c>
      <c r="BM12" s="373">
        <f>2*10.45</f>
        <v>20.9</v>
      </c>
      <c r="BN12" s="373">
        <f>2*6.91</f>
        <v>13.82</v>
      </c>
      <c r="BO12" s="374">
        <f t="shared" si="24"/>
        <v>0.6612440191387561</v>
      </c>
      <c r="BP12" s="373">
        <f>2*5.75</f>
        <v>11.5</v>
      </c>
      <c r="BQ12" s="242">
        <f t="shared" si="13"/>
        <v>0.5502392344497608</v>
      </c>
      <c r="BS12" s="234"/>
    </row>
    <row r="13" spans="1:71" ht="15">
      <c r="A13" s="90">
        <v>333</v>
      </c>
      <c r="B13" s="243" t="s">
        <v>132</v>
      </c>
      <c r="C13" s="236">
        <v>3</v>
      </c>
      <c r="D13" s="237">
        <v>9.51</v>
      </c>
      <c r="E13" s="238">
        <v>9.48</v>
      </c>
      <c r="F13" s="238"/>
      <c r="G13" s="238"/>
      <c r="H13" s="238"/>
      <c r="I13" s="238"/>
      <c r="J13" s="238"/>
      <c r="K13" s="238"/>
      <c r="L13" s="238"/>
      <c r="M13" s="239"/>
      <c r="N13" s="237">
        <v>2.87</v>
      </c>
      <c r="O13" s="238">
        <v>3.03</v>
      </c>
      <c r="P13" s="238"/>
      <c r="Q13" s="238"/>
      <c r="R13" s="238"/>
      <c r="S13" s="238"/>
      <c r="T13" s="238"/>
      <c r="U13" s="238"/>
      <c r="V13" s="238"/>
      <c r="W13" s="240"/>
      <c r="X13" s="237">
        <f t="shared" si="2"/>
        <v>3.3135888501742157</v>
      </c>
      <c r="Y13" s="238">
        <f t="shared" si="3"/>
        <v>3.1287128712871293</v>
      </c>
      <c r="Z13" s="238"/>
      <c r="AA13" s="238"/>
      <c r="AB13" s="238"/>
      <c r="AC13" s="238"/>
      <c r="AD13" s="238"/>
      <c r="AE13" s="238"/>
      <c r="AF13" s="238"/>
      <c r="AG13" s="239"/>
      <c r="AH13" s="243" t="s">
        <v>132</v>
      </c>
      <c r="AI13" s="237"/>
      <c r="AJ13" s="241"/>
      <c r="AK13" s="241"/>
      <c r="AL13" s="241"/>
      <c r="AM13" s="241"/>
      <c r="AN13" s="241"/>
      <c r="AO13" s="241"/>
      <c r="AP13" s="241"/>
      <c r="AQ13" s="238"/>
      <c r="AR13" s="239"/>
      <c r="AS13" s="237"/>
      <c r="AT13" s="241"/>
      <c r="AU13" s="241"/>
      <c r="AV13" s="241"/>
      <c r="AW13" s="241"/>
      <c r="AX13" s="241"/>
      <c r="AY13" s="241"/>
      <c r="AZ13" s="241"/>
      <c r="BA13" s="238"/>
      <c r="BB13" s="239"/>
      <c r="BC13" s="237"/>
      <c r="BD13" s="238"/>
      <c r="BE13" s="238"/>
      <c r="BF13" s="238"/>
      <c r="BG13" s="238"/>
      <c r="BH13" s="238"/>
      <c r="BI13" s="238"/>
      <c r="BJ13" s="238"/>
      <c r="BK13" s="238"/>
      <c r="BL13" s="238"/>
      <c r="BM13" s="373"/>
      <c r="BN13" s="373"/>
      <c r="BO13" s="374"/>
      <c r="BP13" s="373"/>
      <c r="BQ13" s="242"/>
      <c r="BS13" s="234"/>
    </row>
    <row r="14" spans="1:71" ht="15">
      <c r="A14" s="90">
        <v>396</v>
      </c>
      <c r="B14" s="243" t="s">
        <v>133</v>
      </c>
      <c r="C14" s="236">
        <v>1</v>
      </c>
      <c r="D14" s="237">
        <v>9.08</v>
      </c>
      <c r="E14" s="238">
        <v>8.56</v>
      </c>
      <c r="F14" s="238">
        <v>9.49</v>
      </c>
      <c r="G14" s="238">
        <v>8.7</v>
      </c>
      <c r="H14" s="238">
        <v>9.51</v>
      </c>
      <c r="I14" s="238">
        <v>9.14</v>
      </c>
      <c r="J14" s="238">
        <v>8.94</v>
      </c>
      <c r="K14" s="238">
        <v>9.56</v>
      </c>
      <c r="L14" s="238">
        <v>8.83</v>
      </c>
      <c r="M14" s="239">
        <v>9.69</v>
      </c>
      <c r="N14" s="237">
        <v>2.35</v>
      </c>
      <c r="O14" s="238">
        <v>2.75</v>
      </c>
      <c r="P14" s="238">
        <v>2.4</v>
      </c>
      <c r="Q14" s="238">
        <v>2.42</v>
      </c>
      <c r="R14" s="238">
        <v>2.65</v>
      </c>
      <c r="S14" s="238">
        <v>2.54</v>
      </c>
      <c r="T14" s="238">
        <v>2.52</v>
      </c>
      <c r="U14" s="238">
        <v>2.45</v>
      </c>
      <c r="V14" s="238">
        <v>2.57</v>
      </c>
      <c r="W14" s="240">
        <v>2.6</v>
      </c>
      <c r="X14" s="237">
        <f t="shared" si="2"/>
        <v>3.8638297872340424</v>
      </c>
      <c r="Y14" s="238">
        <f t="shared" si="3"/>
        <v>3.112727272727273</v>
      </c>
      <c r="Z14" s="238">
        <f t="shared" si="4"/>
        <v>3.954166666666667</v>
      </c>
      <c r="AA14" s="238">
        <f t="shared" si="5"/>
        <v>3.5950413223140494</v>
      </c>
      <c r="AB14" s="238">
        <f t="shared" si="6"/>
        <v>3.5886792452830187</v>
      </c>
      <c r="AC14" s="238">
        <f t="shared" si="7"/>
        <v>3.598425196850394</v>
      </c>
      <c r="AD14" s="238">
        <f t="shared" si="8"/>
        <v>3.5476190476190474</v>
      </c>
      <c r="AE14" s="238">
        <f t="shared" si="9"/>
        <v>3.9020408163265303</v>
      </c>
      <c r="AF14" s="238">
        <f t="shared" si="10"/>
        <v>3.43579766536965</v>
      </c>
      <c r="AG14" s="239">
        <f t="shared" si="11"/>
        <v>3.7269230769230766</v>
      </c>
      <c r="AH14" s="243" t="s">
        <v>133</v>
      </c>
      <c r="AI14" s="237">
        <v>6.48</v>
      </c>
      <c r="AJ14" s="241">
        <v>6.11</v>
      </c>
      <c r="AK14" s="241">
        <v>6.99</v>
      </c>
      <c r="AL14" s="241">
        <v>6.74</v>
      </c>
      <c r="AM14" s="241">
        <v>6.49</v>
      </c>
      <c r="AN14" s="241">
        <v>6.38</v>
      </c>
      <c r="AO14" s="241">
        <v>6.01</v>
      </c>
      <c r="AP14" s="241">
        <v>6.91</v>
      </c>
      <c r="AQ14" s="238">
        <v>6.97</v>
      </c>
      <c r="AR14" s="239">
        <v>6.6</v>
      </c>
      <c r="AS14" s="237">
        <v>2.05</v>
      </c>
      <c r="AT14" s="241">
        <v>1.93</v>
      </c>
      <c r="AU14" s="241">
        <v>2.06</v>
      </c>
      <c r="AV14" s="241">
        <v>2.05</v>
      </c>
      <c r="AW14" s="241">
        <v>2.03</v>
      </c>
      <c r="AX14" s="241">
        <v>2.03</v>
      </c>
      <c r="AY14" s="241">
        <v>1.94</v>
      </c>
      <c r="AZ14" s="241">
        <v>2.05</v>
      </c>
      <c r="BA14" s="238">
        <v>2.12</v>
      </c>
      <c r="BB14" s="239">
        <v>2.09</v>
      </c>
      <c r="BC14" s="237">
        <f t="shared" si="14"/>
        <v>3.160975609756098</v>
      </c>
      <c r="BD14" s="238">
        <f t="shared" si="15"/>
        <v>3.1658031088082903</v>
      </c>
      <c r="BE14" s="238">
        <f t="shared" si="16"/>
        <v>3.3932038834951457</v>
      </c>
      <c r="BF14" s="238">
        <f t="shared" si="17"/>
        <v>3.2878048780487807</v>
      </c>
      <c r="BG14" s="238">
        <f t="shared" si="18"/>
        <v>3.1970443349753697</v>
      </c>
      <c r="BH14" s="238">
        <f t="shared" si="19"/>
        <v>3.1428571428571432</v>
      </c>
      <c r="BI14" s="238">
        <f t="shared" si="20"/>
        <v>3.097938144329897</v>
      </c>
      <c r="BJ14" s="238">
        <f t="shared" si="21"/>
        <v>3.3707317073170735</v>
      </c>
      <c r="BK14" s="238">
        <f t="shared" si="22"/>
        <v>3.2877358490566033</v>
      </c>
      <c r="BL14" s="238">
        <f t="shared" si="23"/>
        <v>3.1578947368421053</v>
      </c>
      <c r="BM14" s="373">
        <f>10*1.88</f>
        <v>18.799999999999997</v>
      </c>
      <c r="BN14" s="373">
        <f>10*1.27</f>
        <v>12.7</v>
      </c>
      <c r="BO14" s="374">
        <f t="shared" si="24"/>
        <v>0.6755319148936171</v>
      </c>
      <c r="BP14" s="373">
        <f>10*0.81</f>
        <v>8.100000000000001</v>
      </c>
      <c r="BQ14" s="242">
        <f t="shared" si="13"/>
        <v>0.4308510638297874</v>
      </c>
      <c r="BS14" s="234"/>
    </row>
    <row r="15" spans="1:71" ht="15">
      <c r="A15" s="90">
        <v>476</v>
      </c>
      <c r="B15" s="243" t="s">
        <v>134</v>
      </c>
      <c r="C15" s="236">
        <v>1</v>
      </c>
      <c r="D15" s="237">
        <v>8.87</v>
      </c>
      <c r="E15" s="238">
        <v>9.18</v>
      </c>
      <c r="F15" s="238">
        <v>9.82</v>
      </c>
      <c r="G15" s="238">
        <v>10.1</v>
      </c>
      <c r="H15" s="238">
        <v>9.82</v>
      </c>
      <c r="I15" s="238">
        <v>10.15</v>
      </c>
      <c r="J15" s="238">
        <v>9.45</v>
      </c>
      <c r="K15" s="238">
        <v>10.23</v>
      </c>
      <c r="L15" s="238">
        <v>9.4</v>
      </c>
      <c r="M15" s="239">
        <v>9.55</v>
      </c>
      <c r="N15" s="237">
        <v>3.02</v>
      </c>
      <c r="O15" s="238">
        <v>3</v>
      </c>
      <c r="P15" s="238">
        <v>2.86</v>
      </c>
      <c r="Q15" s="238">
        <v>2.85</v>
      </c>
      <c r="R15" s="238">
        <v>3.03</v>
      </c>
      <c r="S15" s="238">
        <v>3.18</v>
      </c>
      <c r="T15" s="238">
        <v>2.81</v>
      </c>
      <c r="U15" s="238">
        <v>3</v>
      </c>
      <c r="V15" s="238">
        <v>2.83</v>
      </c>
      <c r="W15" s="240">
        <v>2.79</v>
      </c>
      <c r="X15" s="237">
        <f t="shared" si="2"/>
        <v>2.9370860927152314</v>
      </c>
      <c r="Y15" s="238">
        <f t="shared" si="3"/>
        <v>3.06</v>
      </c>
      <c r="Z15" s="238">
        <f t="shared" si="4"/>
        <v>3.4335664335664338</v>
      </c>
      <c r="AA15" s="238">
        <f t="shared" si="5"/>
        <v>3.543859649122807</v>
      </c>
      <c r="AB15" s="238">
        <f t="shared" si="6"/>
        <v>3.2409240924092413</v>
      </c>
      <c r="AC15" s="238">
        <f t="shared" si="7"/>
        <v>3.191823899371069</v>
      </c>
      <c r="AD15" s="238">
        <f t="shared" si="8"/>
        <v>3.362989323843416</v>
      </c>
      <c r="AE15" s="238">
        <f t="shared" si="9"/>
        <v>3.41</v>
      </c>
      <c r="AF15" s="238">
        <f t="shared" si="10"/>
        <v>3.3215547703180213</v>
      </c>
      <c r="AG15" s="239">
        <f t="shared" si="11"/>
        <v>3.4229390681003586</v>
      </c>
      <c r="AH15" s="243" t="s">
        <v>134</v>
      </c>
      <c r="AI15" s="237">
        <v>7.48</v>
      </c>
      <c r="AJ15" s="241">
        <v>7.27</v>
      </c>
      <c r="AK15" s="241">
        <v>6.98</v>
      </c>
      <c r="AL15" s="241">
        <v>7.41</v>
      </c>
      <c r="AM15" s="241">
        <v>6.4</v>
      </c>
      <c r="AN15" s="241">
        <v>7.09</v>
      </c>
      <c r="AO15" s="241">
        <v>7</v>
      </c>
      <c r="AP15" s="241">
        <v>7.52</v>
      </c>
      <c r="AQ15" s="238">
        <v>7.16</v>
      </c>
      <c r="AR15" s="239">
        <v>6.77</v>
      </c>
      <c r="AS15" s="237">
        <v>2.4</v>
      </c>
      <c r="AT15" s="241">
        <v>2.49</v>
      </c>
      <c r="AU15" s="241">
        <v>2.51</v>
      </c>
      <c r="AV15" s="241">
        <v>2.3</v>
      </c>
      <c r="AW15" s="241">
        <v>2.41</v>
      </c>
      <c r="AX15" s="241">
        <v>2.58</v>
      </c>
      <c r="AY15" s="241">
        <v>2.43</v>
      </c>
      <c r="AZ15" s="241">
        <v>2.42</v>
      </c>
      <c r="BA15" s="238">
        <v>2.43</v>
      </c>
      <c r="BB15" s="239">
        <v>2.38</v>
      </c>
      <c r="BC15" s="237">
        <f t="shared" si="14"/>
        <v>3.116666666666667</v>
      </c>
      <c r="BD15" s="238">
        <f t="shared" si="15"/>
        <v>2.919678714859437</v>
      </c>
      <c r="BE15" s="238">
        <f t="shared" si="16"/>
        <v>2.7808764940239046</v>
      </c>
      <c r="BF15" s="238">
        <f t="shared" si="17"/>
        <v>3.221739130434783</v>
      </c>
      <c r="BG15" s="238">
        <f t="shared" si="18"/>
        <v>2.6556016597510372</v>
      </c>
      <c r="BH15" s="238">
        <f t="shared" si="19"/>
        <v>2.748062015503876</v>
      </c>
      <c r="BI15" s="238">
        <f t="shared" si="20"/>
        <v>2.8806584362139915</v>
      </c>
      <c r="BJ15" s="238">
        <f t="shared" si="21"/>
        <v>3.1074380165289255</v>
      </c>
      <c r="BK15" s="238">
        <f t="shared" si="22"/>
        <v>2.9465020576131686</v>
      </c>
      <c r="BL15" s="238">
        <f t="shared" si="23"/>
        <v>2.8445378151260505</v>
      </c>
      <c r="BM15" s="373">
        <v>26.55</v>
      </c>
      <c r="BN15" s="373">
        <v>18.78</v>
      </c>
      <c r="BO15" s="374">
        <f t="shared" si="24"/>
        <v>0.7073446327683616</v>
      </c>
      <c r="BP15" s="373">
        <v>17.21</v>
      </c>
      <c r="BQ15" s="242">
        <f t="shared" si="13"/>
        <v>0.6482109227871939</v>
      </c>
      <c r="BS15" s="234"/>
    </row>
    <row r="16" spans="1:71" ht="15">
      <c r="A16" s="90">
        <v>477</v>
      </c>
      <c r="B16" s="243" t="s">
        <v>135</v>
      </c>
      <c r="C16" s="236">
        <v>3</v>
      </c>
      <c r="D16" s="237">
        <v>10.21</v>
      </c>
      <c r="E16" s="238">
        <v>10.06</v>
      </c>
      <c r="F16" s="238">
        <v>10.9</v>
      </c>
      <c r="G16" s="238">
        <v>10.27</v>
      </c>
      <c r="H16" s="238">
        <v>10.67</v>
      </c>
      <c r="I16" s="238">
        <v>10.18</v>
      </c>
      <c r="J16" s="238">
        <v>8.89</v>
      </c>
      <c r="K16" s="238">
        <v>10.13</v>
      </c>
      <c r="L16" s="238">
        <v>10.69</v>
      </c>
      <c r="M16" s="239">
        <v>10.11</v>
      </c>
      <c r="N16" s="237">
        <v>3.4</v>
      </c>
      <c r="O16" s="238">
        <v>3.36</v>
      </c>
      <c r="P16" s="238">
        <v>3.54</v>
      </c>
      <c r="Q16" s="238">
        <v>3.16</v>
      </c>
      <c r="R16" s="238">
        <v>3.45</v>
      </c>
      <c r="S16" s="238">
        <v>3.29</v>
      </c>
      <c r="T16" s="238">
        <v>3.08</v>
      </c>
      <c r="U16" s="238">
        <v>3.4</v>
      </c>
      <c r="V16" s="238">
        <v>3.39</v>
      </c>
      <c r="W16" s="240">
        <v>3.3</v>
      </c>
      <c r="X16" s="237">
        <f t="shared" si="2"/>
        <v>3.0029411764705887</v>
      </c>
      <c r="Y16" s="238">
        <f t="shared" si="3"/>
        <v>2.9940476190476195</v>
      </c>
      <c r="Z16" s="238">
        <f t="shared" si="4"/>
        <v>3.07909604519774</v>
      </c>
      <c r="AA16" s="238">
        <f t="shared" si="5"/>
        <v>3.2499999999999996</v>
      </c>
      <c r="AB16" s="238">
        <f t="shared" si="6"/>
        <v>3.0927536231884054</v>
      </c>
      <c r="AC16" s="238">
        <f t="shared" si="7"/>
        <v>3.094224924012158</v>
      </c>
      <c r="AD16" s="238">
        <f t="shared" si="8"/>
        <v>2.8863636363636367</v>
      </c>
      <c r="AE16" s="238">
        <f t="shared" si="9"/>
        <v>2.979411764705883</v>
      </c>
      <c r="AF16" s="238">
        <f t="shared" si="10"/>
        <v>3.1533923303834808</v>
      </c>
      <c r="AG16" s="239">
        <f t="shared" si="11"/>
        <v>3.0636363636363635</v>
      </c>
      <c r="AH16" s="243" t="s">
        <v>135</v>
      </c>
      <c r="AI16" s="237">
        <v>7.64</v>
      </c>
      <c r="AJ16" s="241">
        <v>6.87</v>
      </c>
      <c r="AK16" s="241">
        <v>7.42</v>
      </c>
      <c r="AL16" s="241">
        <v>7.52</v>
      </c>
      <c r="AM16" s="241">
        <v>7.75</v>
      </c>
      <c r="AN16" s="241">
        <v>6.59</v>
      </c>
      <c r="AO16" s="241">
        <v>7.7</v>
      </c>
      <c r="AP16" s="241">
        <v>7.34</v>
      </c>
      <c r="AQ16" s="238">
        <v>7.67</v>
      </c>
      <c r="AR16" s="239">
        <v>7.71</v>
      </c>
      <c r="AS16" s="237">
        <v>2.9</v>
      </c>
      <c r="AT16" s="241">
        <v>2.85</v>
      </c>
      <c r="AU16" s="241">
        <v>2.84</v>
      </c>
      <c r="AV16" s="241">
        <v>2.79</v>
      </c>
      <c r="AW16" s="241">
        <v>2.85</v>
      </c>
      <c r="AX16" s="241">
        <v>2.49</v>
      </c>
      <c r="AY16" s="241">
        <v>2.87</v>
      </c>
      <c r="AZ16" s="241">
        <v>2.9</v>
      </c>
      <c r="BA16" s="238">
        <v>2.99</v>
      </c>
      <c r="BB16" s="239">
        <v>2.87</v>
      </c>
      <c r="BC16" s="237">
        <f t="shared" si="14"/>
        <v>2.6344827586206896</v>
      </c>
      <c r="BD16" s="238">
        <f t="shared" si="15"/>
        <v>2.4105263157894736</v>
      </c>
      <c r="BE16" s="238">
        <f t="shared" si="16"/>
        <v>2.6126760563380285</v>
      </c>
      <c r="BF16" s="238">
        <f t="shared" si="17"/>
        <v>2.6953405017921144</v>
      </c>
      <c r="BG16" s="238">
        <f t="shared" si="18"/>
        <v>2.719298245614035</v>
      </c>
      <c r="BH16" s="238">
        <f t="shared" si="19"/>
        <v>2.6465863453815257</v>
      </c>
      <c r="BI16" s="238">
        <f t="shared" si="20"/>
        <v>2.682926829268293</v>
      </c>
      <c r="BJ16" s="238">
        <f t="shared" si="21"/>
        <v>2.5310344827586206</v>
      </c>
      <c r="BK16" s="238">
        <f t="shared" si="22"/>
        <v>2.5652173913043477</v>
      </c>
      <c r="BL16" s="238">
        <f t="shared" si="23"/>
        <v>2.686411149825784</v>
      </c>
      <c r="BM16" s="373">
        <v>33.3</v>
      </c>
      <c r="BN16" s="373">
        <v>22.73</v>
      </c>
      <c r="BO16" s="374">
        <f t="shared" si="24"/>
        <v>0.6825825825825826</v>
      </c>
      <c r="BP16" s="373">
        <v>16.47</v>
      </c>
      <c r="BQ16" s="242">
        <f t="shared" si="13"/>
        <v>0.4945945945945946</v>
      </c>
      <c r="BS16" s="234"/>
    </row>
    <row r="17" spans="1:71" ht="15">
      <c r="A17" s="90">
        <v>481</v>
      </c>
      <c r="B17" s="243" t="s">
        <v>136</v>
      </c>
      <c r="C17" s="236">
        <v>3</v>
      </c>
      <c r="D17" s="237">
        <v>7.91</v>
      </c>
      <c r="E17" s="238">
        <v>7.88</v>
      </c>
      <c r="F17" s="238">
        <v>8.52</v>
      </c>
      <c r="G17" s="238">
        <v>7.86</v>
      </c>
      <c r="H17" s="238">
        <v>8.88</v>
      </c>
      <c r="I17" s="238">
        <v>9.04</v>
      </c>
      <c r="J17" s="238">
        <v>8.24</v>
      </c>
      <c r="K17" s="238">
        <v>7.88</v>
      </c>
      <c r="L17" s="238">
        <v>8.08</v>
      </c>
      <c r="M17" s="239">
        <v>8.22</v>
      </c>
      <c r="N17" s="237">
        <v>3.22</v>
      </c>
      <c r="O17" s="238">
        <v>3.23</v>
      </c>
      <c r="P17" s="238">
        <v>3.51</v>
      </c>
      <c r="Q17" s="238">
        <v>3.34</v>
      </c>
      <c r="R17" s="238">
        <v>3.69</v>
      </c>
      <c r="S17" s="238">
        <v>3.58</v>
      </c>
      <c r="T17" s="238">
        <v>3.5</v>
      </c>
      <c r="U17" s="238">
        <v>3.2</v>
      </c>
      <c r="V17" s="238">
        <v>3.32</v>
      </c>
      <c r="W17" s="240">
        <v>3.54</v>
      </c>
      <c r="X17" s="237">
        <f t="shared" si="2"/>
        <v>2.4565217391304346</v>
      </c>
      <c r="Y17" s="238">
        <f t="shared" si="3"/>
        <v>2.4396284829721364</v>
      </c>
      <c r="Z17" s="238">
        <f t="shared" si="4"/>
        <v>2.427350427350427</v>
      </c>
      <c r="AA17" s="238">
        <f t="shared" si="5"/>
        <v>2.353293413173653</v>
      </c>
      <c r="AB17" s="238">
        <f t="shared" si="6"/>
        <v>2.4065040650406506</v>
      </c>
      <c r="AC17" s="238">
        <f t="shared" si="7"/>
        <v>2.525139664804469</v>
      </c>
      <c r="AD17" s="238">
        <f t="shared" si="8"/>
        <v>2.3542857142857145</v>
      </c>
      <c r="AE17" s="238">
        <f t="shared" si="9"/>
        <v>2.4625</v>
      </c>
      <c r="AF17" s="238">
        <f t="shared" si="10"/>
        <v>2.433734939759036</v>
      </c>
      <c r="AG17" s="239">
        <f t="shared" si="11"/>
        <v>2.3220338983050848</v>
      </c>
      <c r="AH17" s="243" t="s">
        <v>136</v>
      </c>
      <c r="AI17" s="237">
        <v>5.35</v>
      </c>
      <c r="AJ17" s="241">
        <v>6.01</v>
      </c>
      <c r="AK17" s="241">
        <v>6.03</v>
      </c>
      <c r="AL17" s="241">
        <v>5.92</v>
      </c>
      <c r="AM17" s="241">
        <v>6.05</v>
      </c>
      <c r="AN17" s="241">
        <v>5.7</v>
      </c>
      <c r="AO17" s="241">
        <v>5.74</v>
      </c>
      <c r="AP17" s="241">
        <v>6.09</v>
      </c>
      <c r="AQ17" s="238">
        <v>5.84</v>
      </c>
      <c r="AR17" s="239">
        <v>6.06</v>
      </c>
      <c r="AS17" s="237">
        <v>2.69</v>
      </c>
      <c r="AT17" s="241">
        <v>2.7</v>
      </c>
      <c r="AU17" s="241">
        <v>2.96</v>
      </c>
      <c r="AV17" s="241">
        <v>2.98</v>
      </c>
      <c r="AW17" s="241">
        <v>2.94</v>
      </c>
      <c r="AX17" s="241">
        <v>2.9</v>
      </c>
      <c r="AY17" s="241">
        <v>2.93</v>
      </c>
      <c r="AZ17" s="241">
        <v>3.02</v>
      </c>
      <c r="BA17" s="238">
        <v>2.81</v>
      </c>
      <c r="BB17" s="239">
        <v>2.93</v>
      </c>
      <c r="BC17" s="237">
        <f t="shared" si="14"/>
        <v>1.9888475836431225</v>
      </c>
      <c r="BD17" s="238">
        <f t="shared" si="15"/>
        <v>2.225925925925926</v>
      </c>
      <c r="BE17" s="238">
        <f t="shared" si="16"/>
        <v>2.0371621621621623</v>
      </c>
      <c r="BF17" s="238">
        <f t="shared" si="17"/>
        <v>1.9865771812080537</v>
      </c>
      <c r="BG17" s="238">
        <f t="shared" si="18"/>
        <v>2.057823129251701</v>
      </c>
      <c r="BH17" s="238">
        <f t="shared" si="19"/>
        <v>1.9655172413793105</v>
      </c>
      <c r="BI17" s="238">
        <f t="shared" si="20"/>
        <v>1.9590443686006827</v>
      </c>
      <c r="BJ17" s="238">
        <f t="shared" si="21"/>
        <v>2.0165562913907285</v>
      </c>
      <c r="BK17" s="238">
        <f t="shared" si="22"/>
        <v>2.078291814946619</v>
      </c>
      <c r="BL17" s="238">
        <f t="shared" si="23"/>
        <v>2.0682593856655287</v>
      </c>
      <c r="BM17" s="373">
        <v>13.68</v>
      </c>
      <c r="BN17" s="373">
        <v>8.79</v>
      </c>
      <c r="BO17" s="374">
        <f t="shared" si="24"/>
        <v>0.6425438596491228</v>
      </c>
      <c r="BP17" s="373">
        <v>7.36</v>
      </c>
      <c r="BQ17" s="242">
        <f t="shared" si="13"/>
        <v>0.5380116959064328</v>
      </c>
      <c r="BS17" s="234"/>
    </row>
    <row r="18" spans="1:71" ht="15">
      <c r="A18" s="90">
        <v>500</v>
      </c>
      <c r="B18" s="243" t="s">
        <v>137</v>
      </c>
      <c r="C18" s="236"/>
      <c r="D18" s="237"/>
      <c r="E18" s="238"/>
      <c r="F18" s="238"/>
      <c r="G18" s="238"/>
      <c r="H18" s="238"/>
      <c r="I18" s="238"/>
      <c r="J18" s="238"/>
      <c r="K18" s="238"/>
      <c r="L18" s="238"/>
      <c r="M18" s="239"/>
      <c r="N18" s="237"/>
      <c r="O18" s="238"/>
      <c r="P18" s="238"/>
      <c r="Q18" s="238"/>
      <c r="R18" s="238"/>
      <c r="S18" s="238"/>
      <c r="T18" s="238"/>
      <c r="U18" s="238"/>
      <c r="V18" s="238"/>
      <c r="W18" s="240"/>
      <c r="X18" s="237"/>
      <c r="Y18" s="238"/>
      <c r="Z18" s="238"/>
      <c r="AA18" s="238"/>
      <c r="AB18" s="238"/>
      <c r="AC18" s="238"/>
      <c r="AD18" s="238"/>
      <c r="AE18" s="238"/>
      <c r="AF18" s="238"/>
      <c r="AG18" s="239"/>
      <c r="AH18" s="243" t="s">
        <v>137</v>
      </c>
      <c r="AI18" s="237"/>
      <c r="AJ18" s="241"/>
      <c r="AK18" s="241"/>
      <c r="AL18" s="241"/>
      <c r="AM18" s="241"/>
      <c r="AN18" s="241"/>
      <c r="AO18" s="241"/>
      <c r="AP18" s="241"/>
      <c r="AQ18" s="238"/>
      <c r="AR18" s="239"/>
      <c r="AS18" s="237"/>
      <c r="AT18" s="241"/>
      <c r="AU18" s="241"/>
      <c r="AV18" s="241"/>
      <c r="AW18" s="241"/>
      <c r="AX18" s="241"/>
      <c r="AY18" s="241"/>
      <c r="AZ18" s="241"/>
      <c r="BA18" s="238"/>
      <c r="BB18" s="239"/>
      <c r="BC18" s="237"/>
      <c r="BD18" s="238"/>
      <c r="BE18" s="238"/>
      <c r="BF18" s="238"/>
      <c r="BG18" s="238"/>
      <c r="BH18" s="238"/>
      <c r="BI18" s="238"/>
      <c r="BJ18" s="238"/>
      <c r="BK18" s="238"/>
      <c r="BL18" s="238"/>
      <c r="BM18" s="373"/>
      <c r="BN18" s="373"/>
      <c r="BO18" s="374"/>
      <c r="BP18" s="373"/>
      <c r="BQ18" s="242"/>
      <c r="BS18" s="234"/>
    </row>
    <row r="19" spans="1:71" ht="15">
      <c r="A19" s="90">
        <v>501</v>
      </c>
      <c r="B19" s="243" t="s">
        <v>138</v>
      </c>
      <c r="C19" s="236">
        <v>3</v>
      </c>
      <c r="D19" s="237">
        <v>7.95</v>
      </c>
      <c r="E19" s="238">
        <v>7.62</v>
      </c>
      <c r="F19" s="238">
        <v>8.64</v>
      </c>
      <c r="G19" s="238">
        <v>8.58</v>
      </c>
      <c r="H19" s="238">
        <v>8.08</v>
      </c>
      <c r="I19" s="238">
        <v>7.85</v>
      </c>
      <c r="J19" s="238">
        <v>8.44</v>
      </c>
      <c r="K19" s="238">
        <v>8.04</v>
      </c>
      <c r="L19" s="238">
        <v>8.35</v>
      </c>
      <c r="M19" s="239">
        <v>8.21</v>
      </c>
      <c r="N19" s="237">
        <v>3.5</v>
      </c>
      <c r="O19" s="238">
        <v>3.52</v>
      </c>
      <c r="P19" s="238">
        <v>3.57</v>
      </c>
      <c r="Q19" s="238">
        <v>3.75</v>
      </c>
      <c r="R19" s="238">
        <v>3.71</v>
      </c>
      <c r="S19" s="238">
        <v>3.62</v>
      </c>
      <c r="T19" s="238">
        <v>3.78</v>
      </c>
      <c r="U19" s="238">
        <v>3.6</v>
      </c>
      <c r="V19" s="238">
        <v>3.68</v>
      </c>
      <c r="W19" s="240">
        <v>3.69</v>
      </c>
      <c r="X19" s="237">
        <f t="shared" si="2"/>
        <v>2.2714285714285714</v>
      </c>
      <c r="Y19" s="238">
        <f t="shared" si="3"/>
        <v>2.164772727272727</v>
      </c>
      <c r="Z19" s="238">
        <f t="shared" si="4"/>
        <v>2.420168067226891</v>
      </c>
      <c r="AA19" s="238">
        <f t="shared" si="5"/>
        <v>2.288</v>
      </c>
      <c r="AB19" s="238">
        <f t="shared" si="6"/>
        <v>2.1778975741239894</v>
      </c>
      <c r="AC19" s="238">
        <f t="shared" si="7"/>
        <v>2.1685082872928176</v>
      </c>
      <c r="AD19" s="238">
        <f t="shared" si="8"/>
        <v>2.2328042328042326</v>
      </c>
      <c r="AE19" s="238">
        <f t="shared" si="9"/>
        <v>2.233333333333333</v>
      </c>
      <c r="AF19" s="238">
        <f t="shared" si="10"/>
        <v>2.2690217391304346</v>
      </c>
      <c r="AG19" s="239">
        <f t="shared" si="11"/>
        <v>2.2249322493224937</v>
      </c>
      <c r="AH19" s="243" t="s">
        <v>138</v>
      </c>
      <c r="AI19" s="237">
        <v>6.17</v>
      </c>
      <c r="AJ19" s="241">
        <v>5.78</v>
      </c>
      <c r="AK19" s="241">
        <v>5.96</v>
      </c>
      <c r="AL19" s="241">
        <v>5.79</v>
      </c>
      <c r="AM19" s="241">
        <v>5.73</v>
      </c>
      <c r="AN19" s="241">
        <v>6.18</v>
      </c>
      <c r="AO19" s="241">
        <v>5.74</v>
      </c>
      <c r="AP19" s="241">
        <v>6.24</v>
      </c>
      <c r="AQ19" s="238">
        <v>5.85</v>
      </c>
      <c r="AR19" s="239">
        <v>5.8</v>
      </c>
      <c r="AS19" s="237">
        <v>3.36</v>
      </c>
      <c r="AT19" s="241">
        <v>3.17</v>
      </c>
      <c r="AU19" s="241">
        <v>3.12</v>
      </c>
      <c r="AV19" s="241">
        <v>3.32</v>
      </c>
      <c r="AW19" s="241">
        <v>3.19</v>
      </c>
      <c r="AX19" s="241">
        <v>3.12</v>
      </c>
      <c r="AY19" s="241">
        <v>3.29</v>
      </c>
      <c r="AZ19" s="241">
        <v>3.25</v>
      </c>
      <c r="BA19" s="238">
        <v>3.22</v>
      </c>
      <c r="BB19" s="239">
        <v>3.23</v>
      </c>
      <c r="BC19" s="237">
        <f t="shared" si="14"/>
        <v>1.836309523809524</v>
      </c>
      <c r="BD19" s="238">
        <f t="shared" si="15"/>
        <v>1.8233438485804419</v>
      </c>
      <c r="BE19" s="238">
        <f t="shared" si="16"/>
        <v>1.9102564102564101</v>
      </c>
      <c r="BF19" s="238">
        <f t="shared" si="17"/>
        <v>1.743975903614458</v>
      </c>
      <c r="BG19" s="238">
        <f t="shared" si="18"/>
        <v>1.7962382445141067</v>
      </c>
      <c r="BH19" s="238">
        <f t="shared" si="19"/>
        <v>1.9807692307692306</v>
      </c>
      <c r="BI19" s="238">
        <f t="shared" si="20"/>
        <v>1.7446808510638299</v>
      </c>
      <c r="BJ19" s="238">
        <f t="shared" si="21"/>
        <v>1.9200000000000002</v>
      </c>
      <c r="BK19" s="238">
        <f t="shared" si="22"/>
        <v>1.8167701863354035</v>
      </c>
      <c r="BL19" s="238">
        <f t="shared" si="23"/>
        <v>1.7956656346749225</v>
      </c>
      <c r="BM19" s="373">
        <v>32.49</v>
      </c>
      <c r="BN19" s="373">
        <v>20.74</v>
      </c>
      <c r="BO19" s="374">
        <f t="shared" si="24"/>
        <v>0.6383502616189596</v>
      </c>
      <c r="BP19" s="373">
        <v>18.48</v>
      </c>
      <c r="BQ19" s="242">
        <f t="shared" si="13"/>
        <v>0.5687903970452447</v>
      </c>
      <c r="BS19" s="234"/>
    </row>
    <row r="20" spans="1:71" ht="15">
      <c r="A20" s="90">
        <v>502</v>
      </c>
      <c r="B20" s="243" t="s">
        <v>139</v>
      </c>
      <c r="C20" s="236">
        <v>3</v>
      </c>
      <c r="D20" s="237">
        <v>9.2</v>
      </c>
      <c r="E20" s="238">
        <v>8.88</v>
      </c>
      <c r="F20" s="238">
        <v>9.58</v>
      </c>
      <c r="G20" s="238">
        <v>9.63</v>
      </c>
      <c r="H20" s="238">
        <v>10.51</v>
      </c>
      <c r="I20" s="238">
        <v>9.18</v>
      </c>
      <c r="J20" s="238">
        <v>9.19</v>
      </c>
      <c r="K20" s="238">
        <v>9.7</v>
      </c>
      <c r="L20" s="238">
        <v>9.47</v>
      </c>
      <c r="M20" s="239">
        <v>10.21</v>
      </c>
      <c r="N20" s="237">
        <v>2.31</v>
      </c>
      <c r="O20" s="238">
        <v>2.16</v>
      </c>
      <c r="P20" s="238">
        <v>2.2</v>
      </c>
      <c r="Q20" s="238">
        <v>2.19</v>
      </c>
      <c r="R20" s="238">
        <v>2.68</v>
      </c>
      <c r="S20" s="238">
        <v>2.41</v>
      </c>
      <c r="T20" s="238">
        <v>2.23</v>
      </c>
      <c r="U20" s="238">
        <v>2.35</v>
      </c>
      <c r="V20" s="238">
        <v>2.22</v>
      </c>
      <c r="W20" s="240">
        <v>2.38</v>
      </c>
      <c r="X20" s="237">
        <f aca="true" t="shared" si="25" ref="X20:X41">D20/N20</f>
        <v>3.9826839826839824</v>
      </c>
      <c r="Y20" s="238">
        <f aca="true" t="shared" si="26" ref="Y20:Y41">E20/O20</f>
        <v>4.111111111111112</v>
      </c>
      <c r="Z20" s="238">
        <f aca="true" t="shared" si="27" ref="Z20:Z41">F20/P20</f>
        <v>4.3545454545454545</v>
      </c>
      <c r="AA20" s="238">
        <f aca="true" t="shared" si="28" ref="AA20:AA41">G20/Q20</f>
        <v>4.397260273972603</v>
      </c>
      <c r="AB20" s="238">
        <f aca="true" t="shared" si="29" ref="AB20:AB41">H20/R20</f>
        <v>3.9216417910447756</v>
      </c>
      <c r="AC20" s="238">
        <f aca="true" t="shared" si="30" ref="AC20:AC41">I20/S20</f>
        <v>3.809128630705394</v>
      </c>
      <c r="AD20" s="238">
        <f aca="true" t="shared" si="31" ref="AD20:AD41">J20/T20</f>
        <v>4.121076233183857</v>
      </c>
      <c r="AE20" s="238">
        <f aca="true" t="shared" si="32" ref="AE20:AE41">K20/U20</f>
        <v>4.127659574468085</v>
      </c>
      <c r="AF20" s="238">
        <f aca="true" t="shared" si="33" ref="AF20:AF41">L20/V20</f>
        <v>4.2657657657657655</v>
      </c>
      <c r="AG20" s="239">
        <f aca="true" t="shared" si="34" ref="AG20:AG41">M20/W20</f>
        <v>4.289915966386555</v>
      </c>
      <c r="AH20" s="243" t="s">
        <v>139</v>
      </c>
      <c r="AI20" s="237">
        <v>7.84</v>
      </c>
      <c r="AJ20" s="241">
        <v>7.07</v>
      </c>
      <c r="AK20" s="241">
        <v>7.18</v>
      </c>
      <c r="AL20" s="241">
        <v>7.07</v>
      </c>
      <c r="AM20" s="241">
        <v>7.09</v>
      </c>
      <c r="AN20" s="241">
        <v>6.79</v>
      </c>
      <c r="AO20" s="241">
        <v>7.6</v>
      </c>
      <c r="AP20" s="241">
        <v>7.35</v>
      </c>
      <c r="AQ20" s="238">
        <v>7.18</v>
      </c>
      <c r="AR20" s="239">
        <v>7.18</v>
      </c>
      <c r="AS20" s="237">
        <v>2.13</v>
      </c>
      <c r="AT20" s="241">
        <v>2.04</v>
      </c>
      <c r="AU20" s="241">
        <v>2.12</v>
      </c>
      <c r="AV20" s="241">
        <v>1.93</v>
      </c>
      <c r="AW20" s="241">
        <v>1.92</v>
      </c>
      <c r="AX20" s="241">
        <v>1.92</v>
      </c>
      <c r="AY20" s="241">
        <v>2.03</v>
      </c>
      <c r="AZ20" s="241">
        <v>1.96</v>
      </c>
      <c r="BA20" s="238">
        <v>2.03</v>
      </c>
      <c r="BB20" s="239">
        <v>2.01</v>
      </c>
      <c r="BC20" s="237">
        <f t="shared" si="14"/>
        <v>3.6807511737089205</v>
      </c>
      <c r="BD20" s="238">
        <f t="shared" si="15"/>
        <v>3.465686274509804</v>
      </c>
      <c r="BE20" s="238">
        <f t="shared" si="16"/>
        <v>3.3867924528301883</v>
      </c>
      <c r="BF20" s="238">
        <f t="shared" si="17"/>
        <v>3.6632124352331608</v>
      </c>
      <c r="BG20" s="238">
        <f t="shared" si="18"/>
        <v>3.6927083333333335</v>
      </c>
      <c r="BH20" s="238">
        <f t="shared" si="19"/>
        <v>3.5364583333333335</v>
      </c>
      <c r="BI20" s="238">
        <f t="shared" si="20"/>
        <v>3.74384236453202</v>
      </c>
      <c r="BJ20" s="238">
        <f t="shared" si="21"/>
        <v>3.75</v>
      </c>
      <c r="BK20" s="238">
        <f t="shared" si="22"/>
        <v>3.536945812807882</v>
      </c>
      <c r="BL20" s="238">
        <f t="shared" si="23"/>
        <v>3.5721393034825875</v>
      </c>
      <c r="BM20" s="373">
        <v>22.3</v>
      </c>
      <c r="BN20" s="373">
        <v>16.26</v>
      </c>
      <c r="BO20" s="374">
        <f t="shared" si="24"/>
        <v>0.7291479820627803</v>
      </c>
      <c r="BP20" s="373">
        <v>15.49</v>
      </c>
      <c r="BQ20" s="242">
        <f t="shared" si="13"/>
        <v>0.6946188340807175</v>
      </c>
      <c r="BS20" s="234"/>
    </row>
    <row r="21" spans="1:71" ht="15">
      <c r="A21" s="90">
        <v>512</v>
      </c>
      <c r="B21" s="244" t="s">
        <v>140</v>
      </c>
      <c r="C21" s="236">
        <v>3</v>
      </c>
      <c r="D21" s="237">
        <v>8.06</v>
      </c>
      <c r="E21" s="238">
        <v>7.72</v>
      </c>
      <c r="F21" s="238">
        <v>7.99</v>
      </c>
      <c r="G21" s="238">
        <v>8.05</v>
      </c>
      <c r="H21" s="238">
        <v>8.5</v>
      </c>
      <c r="I21" s="238">
        <v>8.54</v>
      </c>
      <c r="J21" s="238">
        <v>8.27</v>
      </c>
      <c r="K21" s="238">
        <v>8.42</v>
      </c>
      <c r="L21" s="238">
        <v>8.32</v>
      </c>
      <c r="M21" s="239">
        <v>8.29</v>
      </c>
      <c r="N21" s="237">
        <v>3.42</v>
      </c>
      <c r="O21" s="238">
        <v>3.5</v>
      </c>
      <c r="P21" s="238">
        <v>3.37</v>
      </c>
      <c r="Q21" s="238">
        <v>3.12</v>
      </c>
      <c r="R21" s="238">
        <v>3.76</v>
      </c>
      <c r="S21" s="238">
        <v>3.7</v>
      </c>
      <c r="T21" s="238">
        <v>3.63</v>
      </c>
      <c r="U21" s="238">
        <v>3.74</v>
      </c>
      <c r="V21" s="238">
        <v>3.59</v>
      </c>
      <c r="W21" s="240">
        <v>3.53</v>
      </c>
      <c r="X21" s="237">
        <f t="shared" si="25"/>
        <v>2.356725146198831</v>
      </c>
      <c r="Y21" s="238">
        <f t="shared" si="26"/>
        <v>2.2057142857142855</v>
      </c>
      <c r="Z21" s="238">
        <f t="shared" si="27"/>
        <v>2.370919881305638</v>
      </c>
      <c r="AA21" s="238">
        <f t="shared" si="28"/>
        <v>2.5801282051282053</v>
      </c>
      <c r="AB21" s="238">
        <f t="shared" si="29"/>
        <v>2.2606382978723407</v>
      </c>
      <c r="AC21" s="238">
        <f t="shared" si="30"/>
        <v>2.3081081081081076</v>
      </c>
      <c r="AD21" s="238">
        <f t="shared" si="31"/>
        <v>2.278236914600551</v>
      </c>
      <c r="AE21" s="238">
        <f t="shared" si="32"/>
        <v>2.2513368983957216</v>
      </c>
      <c r="AF21" s="238">
        <f t="shared" si="33"/>
        <v>2.317548746518106</v>
      </c>
      <c r="AG21" s="239">
        <f t="shared" si="34"/>
        <v>2.348441926345609</v>
      </c>
      <c r="AH21" s="244" t="s">
        <v>140</v>
      </c>
      <c r="AI21" s="237">
        <v>5.59</v>
      </c>
      <c r="AJ21" s="241">
        <v>5.8</v>
      </c>
      <c r="AK21" s="241">
        <v>6.06</v>
      </c>
      <c r="AL21" s="241">
        <v>5.73</v>
      </c>
      <c r="AM21" s="241">
        <v>5.86</v>
      </c>
      <c r="AN21" s="241">
        <v>5.65</v>
      </c>
      <c r="AO21" s="241">
        <v>5.95</v>
      </c>
      <c r="AP21" s="241">
        <v>5.58</v>
      </c>
      <c r="AQ21" s="238">
        <v>5.86</v>
      </c>
      <c r="AR21" s="239">
        <v>5.79</v>
      </c>
      <c r="AS21" s="237">
        <v>2.96</v>
      </c>
      <c r="AT21" s="241">
        <v>3.04</v>
      </c>
      <c r="AU21" s="241">
        <v>3.12</v>
      </c>
      <c r="AV21" s="241">
        <v>3.04</v>
      </c>
      <c r="AW21" s="241">
        <v>3.16</v>
      </c>
      <c r="AX21" s="241">
        <v>2.97</v>
      </c>
      <c r="AY21" s="241">
        <v>2.99</v>
      </c>
      <c r="AZ21" s="241">
        <v>3.06</v>
      </c>
      <c r="BA21" s="238">
        <v>3.11</v>
      </c>
      <c r="BB21" s="239">
        <v>3.07</v>
      </c>
      <c r="BC21" s="237">
        <f t="shared" si="14"/>
        <v>1.8885135135135136</v>
      </c>
      <c r="BD21" s="238">
        <f t="shared" si="15"/>
        <v>1.907894736842105</v>
      </c>
      <c r="BE21" s="238">
        <f t="shared" si="16"/>
        <v>1.942307692307692</v>
      </c>
      <c r="BF21" s="238">
        <f t="shared" si="17"/>
        <v>1.8848684210526316</v>
      </c>
      <c r="BG21" s="238">
        <f t="shared" si="18"/>
        <v>1.8544303797468356</v>
      </c>
      <c r="BH21" s="238">
        <f t="shared" si="19"/>
        <v>1.9023569023569022</v>
      </c>
      <c r="BI21" s="238">
        <f t="shared" si="20"/>
        <v>1.9899665551839465</v>
      </c>
      <c r="BJ21" s="238">
        <f t="shared" si="21"/>
        <v>1.8235294117647058</v>
      </c>
      <c r="BK21" s="238">
        <f t="shared" si="22"/>
        <v>1.884244372990354</v>
      </c>
      <c r="BL21" s="238">
        <f t="shared" si="23"/>
        <v>1.8859934853420197</v>
      </c>
      <c r="BM21" s="373">
        <v>33.35</v>
      </c>
      <c r="BN21" s="373">
        <v>22.54</v>
      </c>
      <c r="BO21" s="374">
        <f t="shared" si="24"/>
        <v>0.6758620689655171</v>
      </c>
      <c r="BP21" s="373">
        <v>21.6</v>
      </c>
      <c r="BQ21" s="242">
        <f t="shared" si="13"/>
        <v>0.6476761619190405</v>
      </c>
      <c r="BS21" s="234"/>
    </row>
    <row r="22" spans="1:71" ht="15">
      <c r="A22" s="90">
        <v>518</v>
      </c>
      <c r="B22" s="244" t="s">
        <v>141</v>
      </c>
      <c r="C22" s="236">
        <v>3</v>
      </c>
      <c r="D22" s="237">
        <v>7.45</v>
      </c>
      <c r="E22" s="238">
        <v>7.23</v>
      </c>
      <c r="F22" s="238">
        <v>7.52</v>
      </c>
      <c r="G22" s="238">
        <v>8.61</v>
      </c>
      <c r="H22" s="238">
        <v>7.89</v>
      </c>
      <c r="I22" s="238">
        <v>7.19</v>
      </c>
      <c r="J22" s="238">
        <v>7</v>
      </c>
      <c r="K22" s="238">
        <v>7.42</v>
      </c>
      <c r="L22" s="238">
        <v>7.08</v>
      </c>
      <c r="M22" s="239">
        <v>7.24</v>
      </c>
      <c r="N22" s="237">
        <v>3.24</v>
      </c>
      <c r="O22" s="238">
        <v>3.5</v>
      </c>
      <c r="P22" s="238">
        <v>3.08</v>
      </c>
      <c r="Q22" s="238">
        <v>2.87</v>
      </c>
      <c r="R22" s="238">
        <v>3.33</v>
      </c>
      <c r="S22" s="238">
        <v>3.47</v>
      </c>
      <c r="T22" s="238">
        <v>3.24</v>
      </c>
      <c r="U22" s="238">
        <v>3.32</v>
      </c>
      <c r="V22" s="238">
        <v>3.35</v>
      </c>
      <c r="W22" s="240">
        <v>3.26</v>
      </c>
      <c r="X22" s="237">
        <f t="shared" si="25"/>
        <v>2.2993827160493825</v>
      </c>
      <c r="Y22" s="238">
        <f t="shared" si="26"/>
        <v>2.065714285714286</v>
      </c>
      <c r="Z22" s="238">
        <f t="shared" si="27"/>
        <v>2.4415584415584415</v>
      </c>
      <c r="AA22" s="238">
        <f t="shared" si="28"/>
        <v>2.9999999999999996</v>
      </c>
      <c r="AB22" s="238">
        <f t="shared" si="29"/>
        <v>2.369369369369369</v>
      </c>
      <c r="AC22" s="238">
        <f t="shared" si="30"/>
        <v>2.0720461095100866</v>
      </c>
      <c r="AD22" s="238">
        <f t="shared" si="31"/>
        <v>2.1604938271604937</v>
      </c>
      <c r="AE22" s="238">
        <f t="shared" si="32"/>
        <v>2.234939759036145</v>
      </c>
      <c r="AF22" s="238">
        <f t="shared" si="33"/>
        <v>2.1134328358208956</v>
      </c>
      <c r="AG22" s="239">
        <f t="shared" si="34"/>
        <v>2.2208588957055215</v>
      </c>
      <c r="AH22" s="244" t="s">
        <v>141</v>
      </c>
      <c r="AI22" s="237">
        <v>5.14</v>
      </c>
      <c r="AJ22" s="241">
        <v>5.28</v>
      </c>
      <c r="AK22" s="241">
        <v>5.09</v>
      </c>
      <c r="AL22" s="241">
        <v>5.16</v>
      </c>
      <c r="AM22" s="241">
        <v>5.04</v>
      </c>
      <c r="AN22" s="241">
        <v>5.05</v>
      </c>
      <c r="AO22" s="241">
        <v>4.97</v>
      </c>
      <c r="AP22" s="241">
        <v>5.49</v>
      </c>
      <c r="AQ22" s="238">
        <v>5.38</v>
      </c>
      <c r="AR22" s="239">
        <v>5.38</v>
      </c>
      <c r="AS22" s="237">
        <v>2.77</v>
      </c>
      <c r="AT22" s="241">
        <v>3.05</v>
      </c>
      <c r="AU22" s="241">
        <v>2.74</v>
      </c>
      <c r="AV22" s="241">
        <v>2.92</v>
      </c>
      <c r="AW22" s="241">
        <v>2.83</v>
      </c>
      <c r="AX22" s="241">
        <v>2.74</v>
      </c>
      <c r="AY22" s="241">
        <v>2.78</v>
      </c>
      <c r="AZ22" s="241">
        <v>2.87</v>
      </c>
      <c r="BA22" s="238">
        <v>2.87</v>
      </c>
      <c r="BB22" s="239">
        <v>2.97</v>
      </c>
      <c r="BC22" s="237">
        <f t="shared" si="14"/>
        <v>1.855595667870036</v>
      </c>
      <c r="BD22" s="238">
        <f t="shared" si="15"/>
        <v>1.7311475409836068</v>
      </c>
      <c r="BE22" s="238">
        <f t="shared" si="16"/>
        <v>1.8576642335766422</v>
      </c>
      <c r="BF22" s="238">
        <f t="shared" si="17"/>
        <v>1.767123287671233</v>
      </c>
      <c r="BG22" s="238">
        <f t="shared" si="18"/>
        <v>1.7809187279151943</v>
      </c>
      <c r="BH22" s="238">
        <f t="shared" si="19"/>
        <v>1.8430656934306566</v>
      </c>
      <c r="BI22" s="238">
        <f t="shared" si="20"/>
        <v>1.7877697841726619</v>
      </c>
      <c r="BJ22" s="238">
        <f t="shared" si="21"/>
        <v>1.9128919860627178</v>
      </c>
      <c r="BK22" s="238">
        <f t="shared" si="22"/>
        <v>1.8745644599303135</v>
      </c>
      <c r="BL22" s="238">
        <f t="shared" si="23"/>
        <v>1.8114478114478112</v>
      </c>
      <c r="BM22" s="373">
        <v>26.52</v>
      </c>
      <c r="BN22" s="373">
        <v>18.55</v>
      </c>
      <c r="BO22" s="374">
        <f t="shared" si="24"/>
        <v>0.6994720965309201</v>
      </c>
      <c r="BP22" s="373">
        <v>18.22</v>
      </c>
      <c r="BQ22" s="242">
        <f t="shared" si="13"/>
        <v>0.6870286576168929</v>
      </c>
      <c r="BS22" s="234"/>
    </row>
    <row r="23" spans="1:71" ht="15">
      <c r="A23" s="90">
        <v>519</v>
      </c>
      <c r="B23" s="244" t="s">
        <v>142</v>
      </c>
      <c r="C23" s="236">
        <v>3</v>
      </c>
      <c r="D23" s="237">
        <v>7.23</v>
      </c>
      <c r="E23" s="238">
        <v>7.89</v>
      </c>
      <c r="F23" s="238">
        <v>7.95</v>
      </c>
      <c r="G23" s="238">
        <v>7.54</v>
      </c>
      <c r="H23" s="238">
        <v>7.44</v>
      </c>
      <c r="I23" s="238">
        <v>7</v>
      </c>
      <c r="J23" s="238">
        <v>7.13</v>
      </c>
      <c r="K23" s="238">
        <v>7.4</v>
      </c>
      <c r="L23" s="238">
        <v>7.7</v>
      </c>
      <c r="M23" s="239">
        <v>7.13</v>
      </c>
      <c r="N23" s="237">
        <v>3.56</v>
      </c>
      <c r="O23" s="238">
        <v>3.62</v>
      </c>
      <c r="P23" s="238">
        <v>3.69</v>
      </c>
      <c r="Q23" s="238">
        <v>3.58</v>
      </c>
      <c r="R23" s="238">
        <v>3.54</v>
      </c>
      <c r="S23" s="238">
        <v>3.52</v>
      </c>
      <c r="T23" s="238">
        <v>3.66</v>
      </c>
      <c r="U23" s="238">
        <v>3.4</v>
      </c>
      <c r="V23" s="238">
        <v>3.56</v>
      </c>
      <c r="W23" s="240">
        <v>3.46</v>
      </c>
      <c r="X23" s="237">
        <f t="shared" si="25"/>
        <v>2.0308988764044944</v>
      </c>
      <c r="Y23" s="238">
        <f t="shared" si="26"/>
        <v>2.1795580110497235</v>
      </c>
      <c r="Z23" s="238">
        <f t="shared" si="27"/>
        <v>2.1544715447154474</v>
      </c>
      <c r="AA23" s="238">
        <f t="shared" si="28"/>
        <v>2.106145251396648</v>
      </c>
      <c r="AB23" s="238">
        <f t="shared" si="29"/>
        <v>2.1016949152542375</v>
      </c>
      <c r="AC23" s="238">
        <f t="shared" si="30"/>
        <v>1.9886363636363635</v>
      </c>
      <c r="AD23" s="238">
        <f t="shared" si="31"/>
        <v>1.948087431693989</v>
      </c>
      <c r="AE23" s="238">
        <f t="shared" si="32"/>
        <v>2.1764705882352944</v>
      </c>
      <c r="AF23" s="238">
        <f t="shared" si="33"/>
        <v>2.162921348314607</v>
      </c>
      <c r="AG23" s="239">
        <f t="shared" si="34"/>
        <v>2.060693641618497</v>
      </c>
      <c r="AH23" s="244" t="s">
        <v>142</v>
      </c>
      <c r="AI23" s="237">
        <v>5.23</v>
      </c>
      <c r="AJ23" s="241">
        <v>5.14</v>
      </c>
      <c r="AK23" s="241">
        <v>5.15</v>
      </c>
      <c r="AL23" s="241">
        <v>5.41</v>
      </c>
      <c r="AM23" s="241">
        <v>5.19</v>
      </c>
      <c r="AN23" s="241">
        <v>5.26</v>
      </c>
      <c r="AO23" s="241">
        <v>5.2</v>
      </c>
      <c r="AP23" s="241">
        <v>5.4</v>
      </c>
      <c r="AQ23" s="238">
        <v>5.18</v>
      </c>
      <c r="AR23" s="239">
        <v>5.3</v>
      </c>
      <c r="AS23" s="237">
        <v>3</v>
      </c>
      <c r="AT23" s="241">
        <v>3.1</v>
      </c>
      <c r="AU23" s="241">
        <v>3.23</v>
      </c>
      <c r="AV23" s="241">
        <v>3.11</v>
      </c>
      <c r="AW23" s="241">
        <v>3.08</v>
      </c>
      <c r="AX23" s="241">
        <v>3.19</v>
      </c>
      <c r="AY23" s="241">
        <v>2.95</v>
      </c>
      <c r="AZ23" s="241">
        <v>3.25</v>
      </c>
      <c r="BA23" s="238">
        <v>3.04</v>
      </c>
      <c r="BB23" s="239">
        <v>3.03</v>
      </c>
      <c r="BC23" s="237">
        <f t="shared" si="14"/>
        <v>1.7433333333333334</v>
      </c>
      <c r="BD23" s="238">
        <f t="shared" si="15"/>
        <v>1.6580645161290322</v>
      </c>
      <c r="BE23" s="238">
        <f t="shared" si="16"/>
        <v>1.5944272445820435</v>
      </c>
      <c r="BF23" s="238">
        <f t="shared" si="17"/>
        <v>1.739549839228296</v>
      </c>
      <c r="BG23" s="238">
        <f t="shared" si="18"/>
        <v>1.6850649350649352</v>
      </c>
      <c r="BH23" s="238">
        <f t="shared" si="19"/>
        <v>1.6489028213166144</v>
      </c>
      <c r="BI23" s="238">
        <f t="shared" si="20"/>
        <v>1.7627118644067796</v>
      </c>
      <c r="BJ23" s="238">
        <f t="shared" si="21"/>
        <v>1.6615384615384616</v>
      </c>
      <c r="BK23" s="238">
        <f t="shared" si="22"/>
        <v>1.7039473684210524</v>
      </c>
      <c r="BL23" s="238">
        <f t="shared" si="23"/>
        <v>1.7491749174917492</v>
      </c>
      <c r="BM23" s="373">
        <v>29.57</v>
      </c>
      <c r="BN23" s="373">
        <v>20.16</v>
      </c>
      <c r="BO23" s="374">
        <f t="shared" si="24"/>
        <v>0.6817720662833954</v>
      </c>
      <c r="BP23" s="373">
        <v>19.35</v>
      </c>
      <c r="BQ23" s="242">
        <f t="shared" si="13"/>
        <v>0.6543794386202232</v>
      </c>
      <c r="BS23" s="234"/>
    </row>
    <row r="24" spans="1:71" ht="15">
      <c r="A24" s="90">
        <v>520</v>
      </c>
      <c r="B24" s="244" t="s">
        <v>143</v>
      </c>
      <c r="C24" s="236">
        <v>3</v>
      </c>
      <c r="D24" s="237">
        <v>7.26</v>
      </c>
      <c r="E24" s="238">
        <v>7.24</v>
      </c>
      <c r="F24" s="238">
        <v>7.11</v>
      </c>
      <c r="G24" s="238">
        <v>7.23</v>
      </c>
      <c r="H24" s="238">
        <v>7.46</v>
      </c>
      <c r="I24" s="238">
        <v>7.01</v>
      </c>
      <c r="J24" s="238">
        <v>7.6</v>
      </c>
      <c r="K24" s="238">
        <v>7.03</v>
      </c>
      <c r="L24" s="238">
        <v>7.08</v>
      </c>
      <c r="M24" s="239">
        <v>7</v>
      </c>
      <c r="N24" s="237">
        <v>3.99</v>
      </c>
      <c r="O24" s="238">
        <v>3.92</v>
      </c>
      <c r="P24" s="238">
        <v>4.03</v>
      </c>
      <c r="Q24" s="238">
        <v>3.79</v>
      </c>
      <c r="R24" s="238">
        <v>3.8</v>
      </c>
      <c r="S24" s="238">
        <v>3.64</v>
      </c>
      <c r="T24" s="238">
        <v>3.97</v>
      </c>
      <c r="U24" s="238">
        <v>3.62</v>
      </c>
      <c r="V24" s="238">
        <v>3.73</v>
      </c>
      <c r="W24" s="240">
        <v>3.79</v>
      </c>
      <c r="X24" s="237">
        <f t="shared" si="25"/>
        <v>1.819548872180451</v>
      </c>
      <c r="Y24" s="238">
        <f t="shared" si="26"/>
        <v>1.8469387755102042</v>
      </c>
      <c r="Z24" s="238">
        <f t="shared" si="27"/>
        <v>1.7642679900744416</v>
      </c>
      <c r="AA24" s="238">
        <f t="shared" si="28"/>
        <v>1.907651715039578</v>
      </c>
      <c r="AB24" s="238">
        <f t="shared" si="29"/>
        <v>1.9631578947368422</v>
      </c>
      <c r="AC24" s="238">
        <f t="shared" si="30"/>
        <v>1.9258241758241756</v>
      </c>
      <c r="AD24" s="238">
        <f t="shared" si="31"/>
        <v>1.9143576826196471</v>
      </c>
      <c r="AE24" s="238">
        <f t="shared" si="32"/>
        <v>1.941988950276243</v>
      </c>
      <c r="AF24" s="238">
        <f t="shared" si="33"/>
        <v>1.8981233243967828</v>
      </c>
      <c r="AG24" s="239">
        <f t="shared" si="34"/>
        <v>1.8469656992084433</v>
      </c>
      <c r="AH24" s="244" t="s">
        <v>143</v>
      </c>
      <c r="AI24" s="237"/>
      <c r="AJ24" s="241"/>
      <c r="AK24" s="241"/>
      <c r="AL24" s="241"/>
      <c r="AM24" s="241"/>
      <c r="AN24" s="241"/>
      <c r="AO24" s="241"/>
      <c r="AP24" s="241"/>
      <c r="AQ24" s="238"/>
      <c r="AR24" s="239"/>
      <c r="AS24" s="237"/>
      <c r="AT24" s="241"/>
      <c r="AU24" s="241"/>
      <c r="AV24" s="241"/>
      <c r="AW24" s="241"/>
      <c r="AX24" s="241"/>
      <c r="AY24" s="241"/>
      <c r="AZ24" s="241"/>
      <c r="BA24" s="238"/>
      <c r="BB24" s="239"/>
      <c r="BC24" s="237"/>
      <c r="BD24" s="238"/>
      <c r="BE24" s="238"/>
      <c r="BF24" s="238"/>
      <c r="BG24" s="238"/>
      <c r="BH24" s="238"/>
      <c r="BI24" s="238"/>
      <c r="BJ24" s="238"/>
      <c r="BK24" s="238"/>
      <c r="BL24" s="238"/>
      <c r="BM24" s="373"/>
      <c r="BN24" s="373"/>
      <c r="BO24" s="374"/>
      <c r="BP24" s="373"/>
      <c r="BQ24" s="242"/>
      <c r="BS24" s="234"/>
    </row>
    <row r="25" spans="1:71" ht="15">
      <c r="A25" s="90">
        <v>523</v>
      </c>
      <c r="B25" s="244" t="s">
        <v>144</v>
      </c>
      <c r="C25" s="236">
        <v>3</v>
      </c>
      <c r="D25" s="237">
        <v>7.86</v>
      </c>
      <c r="E25" s="238">
        <v>7.32</v>
      </c>
      <c r="F25" s="238">
        <v>7.59</v>
      </c>
      <c r="G25" s="238">
        <v>7.66</v>
      </c>
      <c r="H25" s="238">
        <v>7.72</v>
      </c>
      <c r="I25" s="238">
        <v>7.79</v>
      </c>
      <c r="J25" s="238">
        <v>8.11</v>
      </c>
      <c r="K25" s="238">
        <v>7.34</v>
      </c>
      <c r="L25" s="238">
        <v>7.62</v>
      </c>
      <c r="M25" s="239">
        <v>7.61</v>
      </c>
      <c r="N25" s="237">
        <v>3.26</v>
      </c>
      <c r="O25" s="238">
        <v>3.24</v>
      </c>
      <c r="P25" s="238">
        <v>2.97</v>
      </c>
      <c r="Q25" s="238">
        <v>3.04</v>
      </c>
      <c r="R25" s="238">
        <v>3.16</v>
      </c>
      <c r="S25" s="238">
        <v>3.3</v>
      </c>
      <c r="T25" s="238">
        <v>3.38</v>
      </c>
      <c r="U25" s="238">
        <v>3.18</v>
      </c>
      <c r="V25" s="238">
        <v>3.16</v>
      </c>
      <c r="W25" s="240">
        <v>3.23</v>
      </c>
      <c r="X25" s="237">
        <f t="shared" si="25"/>
        <v>2.4110429447852764</v>
      </c>
      <c r="Y25" s="238">
        <f t="shared" si="26"/>
        <v>2.259259259259259</v>
      </c>
      <c r="Z25" s="238">
        <f t="shared" si="27"/>
        <v>2.5555555555555554</v>
      </c>
      <c r="AA25" s="238">
        <f t="shared" si="28"/>
        <v>2.5197368421052633</v>
      </c>
      <c r="AB25" s="238">
        <f t="shared" si="29"/>
        <v>2.443037974683544</v>
      </c>
      <c r="AC25" s="238">
        <f t="shared" si="30"/>
        <v>2.360606060606061</v>
      </c>
      <c r="AD25" s="238">
        <f t="shared" si="31"/>
        <v>2.3994082840236683</v>
      </c>
      <c r="AE25" s="238">
        <f t="shared" si="32"/>
        <v>2.3081761006289305</v>
      </c>
      <c r="AF25" s="238">
        <f t="shared" si="33"/>
        <v>2.411392405063291</v>
      </c>
      <c r="AG25" s="239">
        <f t="shared" si="34"/>
        <v>2.3560371517027865</v>
      </c>
      <c r="AH25" s="244" t="s">
        <v>144</v>
      </c>
      <c r="AI25" s="237">
        <v>5.57</v>
      </c>
      <c r="AJ25" s="241">
        <v>5.48</v>
      </c>
      <c r="AK25" s="241">
        <v>5.62</v>
      </c>
      <c r="AL25" s="241">
        <v>5.98</v>
      </c>
      <c r="AM25" s="241">
        <v>5.58</v>
      </c>
      <c r="AN25" s="241">
        <v>5.6</v>
      </c>
      <c r="AO25" s="241">
        <v>5.49</v>
      </c>
      <c r="AP25" s="241">
        <v>5.68</v>
      </c>
      <c r="AQ25" s="238">
        <v>5.34</v>
      </c>
      <c r="AR25" s="239">
        <v>5.87</v>
      </c>
      <c r="AS25" s="237">
        <v>2.79</v>
      </c>
      <c r="AT25" s="241">
        <v>2.79</v>
      </c>
      <c r="AU25" s="241">
        <v>2.76</v>
      </c>
      <c r="AV25" s="241">
        <v>2.85</v>
      </c>
      <c r="AW25" s="241">
        <v>2.66</v>
      </c>
      <c r="AX25" s="241">
        <v>2.62</v>
      </c>
      <c r="AY25" s="241">
        <v>2.75</v>
      </c>
      <c r="AZ25" s="241">
        <v>2.75</v>
      </c>
      <c r="BA25" s="238">
        <v>2.7</v>
      </c>
      <c r="BB25" s="239">
        <v>2.92</v>
      </c>
      <c r="BC25" s="237">
        <f t="shared" si="14"/>
        <v>1.996415770609319</v>
      </c>
      <c r="BD25" s="238">
        <f t="shared" si="15"/>
        <v>1.96415770609319</v>
      </c>
      <c r="BE25" s="238">
        <f t="shared" si="16"/>
        <v>2.036231884057971</v>
      </c>
      <c r="BF25" s="238">
        <f t="shared" si="17"/>
        <v>2.098245614035088</v>
      </c>
      <c r="BG25" s="238">
        <f t="shared" si="18"/>
        <v>2.0977443609022557</v>
      </c>
      <c r="BH25" s="238">
        <f t="shared" si="19"/>
        <v>2.1374045801526713</v>
      </c>
      <c r="BI25" s="238">
        <f t="shared" si="20"/>
        <v>1.9963636363636363</v>
      </c>
      <c r="BJ25" s="238">
        <f t="shared" si="21"/>
        <v>2.0654545454545454</v>
      </c>
      <c r="BK25" s="238">
        <f t="shared" si="22"/>
        <v>1.9777777777777776</v>
      </c>
      <c r="BL25" s="238">
        <f t="shared" si="23"/>
        <v>2.01027397260274</v>
      </c>
      <c r="BM25" s="373">
        <v>26.05</v>
      </c>
      <c r="BN25" s="373">
        <v>18.53</v>
      </c>
      <c r="BO25" s="374">
        <f t="shared" si="24"/>
        <v>0.7113243761996162</v>
      </c>
      <c r="BP25" s="373">
        <v>17.95</v>
      </c>
      <c r="BQ25" s="242">
        <f t="shared" si="13"/>
        <v>0.6890595009596928</v>
      </c>
      <c r="BS25" s="234"/>
    </row>
    <row r="26" spans="1:71" ht="15">
      <c r="A26" s="90">
        <v>524</v>
      </c>
      <c r="B26" s="244" t="s">
        <v>145</v>
      </c>
      <c r="C26" s="236">
        <v>3</v>
      </c>
      <c r="D26" s="237">
        <v>6.84</v>
      </c>
      <c r="E26" s="238">
        <v>7</v>
      </c>
      <c r="F26" s="238">
        <v>7.02</v>
      </c>
      <c r="G26" s="238">
        <v>6.64</v>
      </c>
      <c r="H26" s="238">
        <v>6.72</v>
      </c>
      <c r="I26" s="238">
        <v>7.26</v>
      </c>
      <c r="J26" s="238">
        <v>6.69</v>
      </c>
      <c r="K26" s="238">
        <v>6.78</v>
      </c>
      <c r="L26" s="238">
        <v>7.04</v>
      </c>
      <c r="M26" s="239">
        <v>6.75</v>
      </c>
      <c r="N26" s="237">
        <v>3.32</v>
      </c>
      <c r="O26" s="238">
        <v>3.44</v>
      </c>
      <c r="P26" s="238">
        <v>3.59</v>
      </c>
      <c r="Q26" s="238">
        <v>3.22</v>
      </c>
      <c r="R26" s="238">
        <v>3.55</v>
      </c>
      <c r="S26" s="238">
        <v>3.55</v>
      </c>
      <c r="T26" s="238">
        <v>3.4</v>
      </c>
      <c r="U26" s="238">
        <v>3.59</v>
      </c>
      <c r="V26" s="238">
        <v>3.38</v>
      </c>
      <c r="W26" s="240">
        <v>3.6</v>
      </c>
      <c r="X26" s="237">
        <f t="shared" si="25"/>
        <v>2.0602409638554215</v>
      </c>
      <c r="Y26" s="238">
        <f t="shared" si="26"/>
        <v>2.0348837209302326</v>
      </c>
      <c r="Z26" s="238">
        <f t="shared" si="27"/>
        <v>1.9554317548746518</v>
      </c>
      <c r="AA26" s="238">
        <f t="shared" si="28"/>
        <v>2.062111801242236</v>
      </c>
      <c r="AB26" s="238">
        <f t="shared" si="29"/>
        <v>1.8929577464788732</v>
      </c>
      <c r="AC26" s="238">
        <f t="shared" si="30"/>
        <v>2.045070422535211</v>
      </c>
      <c r="AD26" s="238">
        <f t="shared" si="31"/>
        <v>1.9676470588235295</v>
      </c>
      <c r="AE26" s="238">
        <f t="shared" si="32"/>
        <v>1.8885793871866297</v>
      </c>
      <c r="AF26" s="238">
        <f t="shared" si="33"/>
        <v>2.0828402366863905</v>
      </c>
      <c r="AG26" s="239">
        <f t="shared" si="34"/>
        <v>1.875</v>
      </c>
      <c r="AH26" s="244" t="s">
        <v>145</v>
      </c>
      <c r="AI26" s="237">
        <v>5.07</v>
      </c>
      <c r="AJ26" s="241">
        <v>5.28</v>
      </c>
      <c r="AK26" s="241">
        <v>5.08</v>
      </c>
      <c r="AL26" s="241">
        <v>4.69</v>
      </c>
      <c r="AM26" s="241">
        <v>4.65</v>
      </c>
      <c r="AN26" s="241">
        <v>4.97</v>
      </c>
      <c r="AO26" s="241">
        <v>4.83</v>
      </c>
      <c r="AP26" s="241">
        <v>5.1</v>
      </c>
      <c r="AQ26" s="238">
        <v>5.08</v>
      </c>
      <c r="AR26" s="239">
        <v>4.84</v>
      </c>
      <c r="AS26" s="237">
        <v>3.14</v>
      </c>
      <c r="AT26" s="241">
        <v>3.06</v>
      </c>
      <c r="AU26" s="241">
        <v>3.08</v>
      </c>
      <c r="AV26" s="241">
        <v>2.66</v>
      </c>
      <c r="AW26" s="241">
        <v>3.01</v>
      </c>
      <c r="AX26" s="241">
        <v>3.1</v>
      </c>
      <c r="AY26" s="241">
        <v>2.99</v>
      </c>
      <c r="AZ26" s="241">
        <v>3.28</v>
      </c>
      <c r="BA26" s="238">
        <v>3.02</v>
      </c>
      <c r="BB26" s="239">
        <v>2.9</v>
      </c>
      <c r="BC26" s="237">
        <f aca="true" t="shared" si="35" ref="BC26:BC89">AI26/AS26</f>
        <v>1.6146496815286624</v>
      </c>
      <c r="BD26" s="238">
        <f aca="true" t="shared" si="36" ref="BD26:BD89">AJ26/AT26</f>
        <v>1.7254901960784315</v>
      </c>
      <c r="BE26" s="238">
        <f aca="true" t="shared" si="37" ref="BE26:BE89">AK26/AU26</f>
        <v>1.6493506493506493</v>
      </c>
      <c r="BF26" s="238">
        <f aca="true" t="shared" si="38" ref="BF26:BF89">AL26/AV26</f>
        <v>1.7631578947368423</v>
      </c>
      <c r="BG26" s="238">
        <f aca="true" t="shared" si="39" ref="BG26:BG89">AM26/AW26</f>
        <v>1.5448504983388707</v>
      </c>
      <c r="BH26" s="238">
        <f aca="true" t="shared" si="40" ref="BH26:BH89">AN26/AX26</f>
        <v>1.6032258064516127</v>
      </c>
      <c r="BI26" s="238">
        <f aca="true" t="shared" si="41" ref="BI26:BI89">AO26/AY26</f>
        <v>1.6153846153846152</v>
      </c>
      <c r="BJ26" s="238">
        <f aca="true" t="shared" si="42" ref="BJ26:BJ89">AP26/AZ26</f>
        <v>1.5548780487804879</v>
      </c>
      <c r="BK26" s="238">
        <f aca="true" t="shared" si="43" ref="BK26:BK89">AQ26/BA26</f>
        <v>1.6821192052980132</v>
      </c>
      <c r="BL26" s="238">
        <f aca="true" t="shared" si="44" ref="BL26:BL89">AR26/BB26</f>
        <v>1.6689655172413793</v>
      </c>
      <c r="BM26" s="373">
        <v>25.89</v>
      </c>
      <c r="BN26" s="373">
        <v>17.83</v>
      </c>
      <c r="BO26" s="374">
        <f t="shared" si="24"/>
        <v>0.6886828891463885</v>
      </c>
      <c r="BP26" s="373">
        <v>17.14</v>
      </c>
      <c r="BQ26" s="242">
        <f t="shared" si="13"/>
        <v>0.6620316724604094</v>
      </c>
      <c r="BS26" s="234"/>
    </row>
    <row r="27" spans="1:71" ht="15">
      <c r="A27" s="90">
        <v>527</v>
      </c>
      <c r="B27" s="244" t="s">
        <v>146</v>
      </c>
      <c r="C27" s="236">
        <v>3</v>
      </c>
      <c r="D27" s="237">
        <v>7.39</v>
      </c>
      <c r="E27" s="238">
        <v>6.98</v>
      </c>
      <c r="F27" s="238">
        <v>7.25</v>
      </c>
      <c r="G27" s="238">
        <v>6.76</v>
      </c>
      <c r="H27" s="238">
        <v>7.28</v>
      </c>
      <c r="I27" s="238">
        <v>7.16</v>
      </c>
      <c r="J27" s="238">
        <v>7.31</v>
      </c>
      <c r="K27" s="238">
        <v>7.53</v>
      </c>
      <c r="L27" s="238">
        <v>6.98</v>
      </c>
      <c r="M27" s="239">
        <v>6.44</v>
      </c>
      <c r="N27" s="237">
        <v>3.15</v>
      </c>
      <c r="O27" s="238">
        <v>3.18</v>
      </c>
      <c r="P27" s="238">
        <v>3.28</v>
      </c>
      <c r="Q27" s="238">
        <v>3.36</v>
      </c>
      <c r="R27" s="238">
        <v>3.26</v>
      </c>
      <c r="S27" s="238">
        <v>3.16</v>
      </c>
      <c r="T27" s="238">
        <v>3.28</v>
      </c>
      <c r="U27" s="238">
        <v>3.17</v>
      </c>
      <c r="V27" s="238">
        <v>3.21</v>
      </c>
      <c r="W27" s="240">
        <v>3.27</v>
      </c>
      <c r="X27" s="237">
        <f t="shared" si="25"/>
        <v>2.346031746031746</v>
      </c>
      <c r="Y27" s="238">
        <f t="shared" si="26"/>
        <v>2.1949685534591197</v>
      </c>
      <c r="Z27" s="238">
        <f t="shared" si="27"/>
        <v>2.2103658536585367</v>
      </c>
      <c r="AA27" s="238">
        <f t="shared" si="28"/>
        <v>2.011904761904762</v>
      </c>
      <c r="AB27" s="238">
        <f t="shared" si="29"/>
        <v>2.2331288343558287</v>
      </c>
      <c r="AC27" s="238">
        <f t="shared" si="30"/>
        <v>2.2658227848101267</v>
      </c>
      <c r="AD27" s="238">
        <f t="shared" si="31"/>
        <v>2.2286585365853657</v>
      </c>
      <c r="AE27" s="238">
        <f t="shared" si="32"/>
        <v>2.375394321766562</v>
      </c>
      <c r="AF27" s="238">
        <f t="shared" si="33"/>
        <v>2.174454828660436</v>
      </c>
      <c r="AG27" s="239">
        <f t="shared" si="34"/>
        <v>1.9694189602446484</v>
      </c>
      <c r="AH27" s="244" t="s">
        <v>146</v>
      </c>
      <c r="AI27" s="237">
        <v>4.65</v>
      </c>
      <c r="AJ27" s="241">
        <v>4.98</v>
      </c>
      <c r="AK27" s="241">
        <v>4.99</v>
      </c>
      <c r="AL27" s="241">
        <v>4.52</v>
      </c>
      <c r="AM27" s="241">
        <v>4.87</v>
      </c>
      <c r="AN27" s="241">
        <v>4.97</v>
      </c>
      <c r="AO27" s="241">
        <v>4.67</v>
      </c>
      <c r="AP27" s="241">
        <v>5.2</v>
      </c>
      <c r="AQ27" s="238">
        <v>4.96</v>
      </c>
      <c r="AR27" s="239">
        <v>5.08</v>
      </c>
      <c r="AS27" s="237">
        <v>2.65</v>
      </c>
      <c r="AT27" s="241">
        <v>2.81</v>
      </c>
      <c r="AU27" s="241">
        <v>2.84</v>
      </c>
      <c r="AV27" s="241">
        <v>2.64</v>
      </c>
      <c r="AW27" s="241">
        <v>2.74</v>
      </c>
      <c r="AX27" s="241">
        <v>2.77</v>
      </c>
      <c r="AY27" s="241">
        <v>2.54</v>
      </c>
      <c r="AZ27" s="241">
        <v>3</v>
      </c>
      <c r="BA27" s="238">
        <v>2.83</v>
      </c>
      <c r="BB27" s="239">
        <v>2.82</v>
      </c>
      <c r="BC27" s="237">
        <f t="shared" si="35"/>
        <v>1.7547169811320757</v>
      </c>
      <c r="BD27" s="238">
        <f t="shared" si="36"/>
        <v>1.7722419928825623</v>
      </c>
      <c r="BE27" s="238">
        <f t="shared" si="37"/>
        <v>1.757042253521127</v>
      </c>
      <c r="BF27" s="238">
        <f t="shared" si="38"/>
        <v>1.712121212121212</v>
      </c>
      <c r="BG27" s="238">
        <f t="shared" si="39"/>
        <v>1.7773722627737225</v>
      </c>
      <c r="BH27" s="238">
        <f t="shared" si="40"/>
        <v>1.7942238267148014</v>
      </c>
      <c r="BI27" s="238">
        <f t="shared" si="41"/>
        <v>1.8385826771653542</v>
      </c>
      <c r="BJ27" s="238">
        <f t="shared" si="42"/>
        <v>1.7333333333333334</v>
      </c>
      <c r="BK27" s="238">
        <f t="shared" si="43"/>
        <v>1.7526501766784452</v>
      </c>
      <c r="BL27" s="238">
        <f t="shared" si="44"/>
        <v>1.8014184397163122</v>
      </c>
      <c r="BM27" s="373">
        <v>23.26</v>
      </c>
      <c r="BN27" s="373">
        <v>16.72</v>
      </c>
      <c r="BO27" s="374">
        <f t="shared" si="24"/>
        <v>0.7188306104901117</v>
      </c>
      <c r="BP27" s="373">
        <v>13.35</v>
      </c>
      <c r="BQ27" s="242">
        <f t="shared" si="13"/>
        <v>0.5739466895958727</v>
      </c>
      <c r="BS27" s="234"/>
    </row>
    <row r="28" spans="1:71" ht="15">
      <c r="A28" s="90">
        <v>534</v>
      </c>
      <c r="B28" s="244" t="s">
        <v>147</v>
      </c>
      <c r="C28" s="236">
        <v>3</v>
      </c>
      <c r="D28" s="237">
        <v>7.16</v>
      </c>
      <c r="E28" s="238">
        <v>7.42</v>
      </c>
      <c r="F28" s="238">
        <v>7.63</v>
      </c>
      <c r="G28" s="238">
        <v>7.72</v>
      </c>
      <c r="H28" s="238">
        <v>7.06</v>
      </c>
      <c r="I28" s="238">
        <v>7.82</v>
      </c>
      <c r="J28" s="238">
        <v>7.04</v>
      </c>
      <c r="K28" s="238">
        <v>7.26</v>
      </c>
      <c r="L28" s="238">
        <v>7.2</v>
      </c>
      <c r="M28" s="239">
        <v>7.46</v>
      </c>
      <c r="N28" s="237">
        <v>3.39</v>
      </c>
      <c r="O28" s="238">
        <v>3.37</v>
      </c>
      <c r="P28" s="238">
        <v>3.4</v>
      </c>
      <c r="Q28" s="238">
        <v>3.4</v>
      </c>
      <c r="R28" s="238">
        <v>3.45</v>
      </c>
      <c r="S28" s="238">
        <v>3.44</v>
      </c>
      <c r="T28" s="238">
        <v>3.14</v>
      </c>
      <c r="U28" s="238">
        <v>3.36</v>
      </c>
      <c r="V28" s="238">
        <v>3.51</v>
      </c>
      <c r="W28" s="240">
        <v>3.47</v>
      </c>
      <c r="X28" s="237">
        <f t="shared" si="25"/>
        <v>2.112094395280236</v>
      </c>
      <c r="Y28" s="238">
        <f t="shared" si="26"/>
        <v>2.201780415430267</v>
      </c>
      <c r="Z28" s="238">
        <f t="shared" si="27"/>
        <v>2.2441176470588236</v>
      </c>
      <c r="AA28" s="238">
        <f t="shared" si="28"/>
        <v>2.2705882352941176</v>
      </c>
      <c r="AB28" s="238">
        <f t="shared" si="29"/>
        <v>2.0463768115942025</v>
      </c>
      <c r="AC28" s="238">
        <f t="shared" si="30"/>
        <v>2.2732558139534884</v>
      </c>
      <c r="AD28" s="238">
        <f t="shared" si="31"/>
        <v>2.2420382165605095</v>
      </c>
      <c r="AE28" s="238">
        <f t="shared" si="32"/>
        <v>2.1607142857142856</v>
      </c>
      <c r="AF28" s="238">
        <f t="shared" si="33"/>
        <v>2.0512820512820515</v>
      </c>
      <c r="AG28" s="239">
        <f t="shared" si="34"/>
        <v>2.14985590778098</v>
      </c>
      <c r="AH28" s="244" t="s">
        <v>147</v>
      </c>
      <c r="AI28" s="237">
        <v>5.13</v>
      </c>
      <c r="AJ28" s="241">
        <v>5.25</v>
      </c>
      <c r="AK28" s="241">
        <v>5.2</v>
      </c>
      <c r="AL28" s="241">
        <v>5.31</v>
      </c>
      <c r="AM28" s="241">
        <v>5.35</v>
      </c>
      <c r="AN28" s="241">
        <v>5.3</v>
      </c>
      <c r="AO28" s="241">
        <v>5.2</v>
      </c>
      <c r="AP28" s="241">
        <v>5.23</v>
      </c>
      <c r="AQ28" s="238">
        <v>5.4</v>
      </c>
      <c r="AR28" s="239">
        <v>5.21</v>
      </c>
      <c r="AS28" s="237">
        <v>2.93</v>
      </c>
      <c r="AT28" s="241">
        <v>3.15</v>
      </c>
      <c r="AU28" s="241">
        <v>3.15</v>
      </c>
      <c r="AV28" s="241">
        <v>3.07</v>
      </c>
      <c r="AW28" s="241">
        <v>2.91</v>
      </c>
      <c r="AX28" s="241">
        <v>3.11</v>
      </c>
      <c r="AY28" s="241">
        <v>3.02</v>
      </c>
      <c r="AZ28" s="241">
        <v>2.9</v>
      </c>
      <c r="BA28" s="238">
        <v>3.14</v>
      </c>
      <c r="BB28" s="239">
        <v>3</v>
      </c>
      <c r="BC28" s="237">
        <f t="shared" si="35"/>
        <v>1.750853242320819</v>
      </c>
      <c r="BD28" s="238">
        <f t="shared" si="36"/>
        <v>1.6666666666666667</v>
      </c>
      <c r="BE28" s="238">
        <f t="shared" si="37"/>
        <v>1.650793650793651</v>
      </c>
      <c r="BF28" s="238">
        <f t="shared" si="38"/>
        <v>1.7296416938110748</v>
      </c>
      <c r="BG28" s="238">
        <f t="shared" si="39"/>
        <v>1.8384879725085908</v>
      </c>
      <c r="BH28" s="238">
        <f t="shared" si="40"/>
        <v>1.7041800643086817</v>
      </c>
      <c r="BI28" s="238">
        <f t="shared" si="41"/>
        <v>1.7218543046357617</v>
      </c>
      <c r="BJ28" s="238">
        <f t="shared" si="42"/>
        <v>1.8034482758620691</v>
      </c>
      <c r="BK28" s="238">
        <f t="shared" si="43"/>
        <v>1.7197452229299364</v>
      </c>
      <c r="BL28" s="238">
        <f t="shared" si="44"/>
        <v>1.7366666666666666</v>
      </c>
      <c r="BM28" s="373">
        <v>29.19</v>
      </c>
      <c r="BN28" s="373">
        <v>20.55</v>
      </c>
      <c r="BO28" s="374">
        <f t="shared" si="24"/>
        <v>0.7040082219938335</v>
      </c>
      <c r="BP28" s="373">
        <v>19.78</v>
      </c>
      <c r="BQ28" s="242">
        <f t="shared" si="13"/>
        <v>0.6776293251113396</v>
      </c>
      <c r="BS28" s="234"/>
    </row>
    <row r="29" spans="1:71" ht="15">
      <c r="A29" s="90">
        <v>539</v>
      </c>
      <c r="B29" s="244" t="s">
        <v>148</v>
      </c>
      <c r="C29" s="236">
        <v>3</v>
      </c>
      <c r="D29" s="237">
        <v>7.97</v>
      </c>
      <c r="E29" s="238">
        <v>7.7</v>
      </c>
      <c r="F29" s="238">
        <v>7.6</v>
      </c>
      <c r="G29" s="238">
        <v>7.78</v>
      </c>
      <c r="H29" s="245">
        <v>7.75</v>
      </c>
      <c r="I29" s="245">
        <v>7.78</v>
      </c>
      <c r="J29" s="238">
        <v>8.42</v>
      </c>
      <c r="K29" s="238">
        <v>7.71</v>
      </c>
      <c r="L29" s="238">
        <v>7.97</v>
      </c>
      <c r="M29" s="238">
        <v>8.72</v>
      </c>
      <c r="N29" s="237">
        <v>3.5</v>
      </c>
      <c r="O29" s="238">
        <v>3.58</v>
      </c>
      <c r="P29" s="238">
        <v>3.64</v>
      </c>
      <c r="Q29" s="238">
        <v>3.63</v>
      </c>
      <c r="R29" s="238">
        <v>3.53</v>
      </c>
      <c r="S29" s="238">
        <v>3.41</v>
      </c>
      <c r="T29" s="238">
        <v>3.68</v>
      </c>
      <c r="U29" s="238">
        <v>3.21</v>
      </c>
      <c r="V29" s="238">
        <v>3.55</v>
      </c>
      <c r="W29" s="240">
        <v>3.56</v>
      </c>
      <c r="X29" s="237">
        <f t="shared" si="25"/>
        <v>2.277142857142857</v>
      </c>
      <c r="Y29" s="238">
        <f t="shared" si="26"/>
        <v>2.1508379888268156</v>
      </c>
      <c r="Z29" s="238">
        <f t="shared" si="27"/>
        <v>2.0879120879120876</v>
      </c>
      <c r="AA29" s="238">
        <f t="shared" si="28"/>
        <v>2.1432506887052343</v>
      </c>
      <c r="AB29" s="238">
        <f t="shared" si="29"/>
        <v>2.1954674220963173</v>
      </c>
      <c r="AC29" s="238">
        <f t="shared" si="30"/>
        <v>2.281524926686217</v>
      </c>
      <c r="AD29" s="238">
        <f t="shared" si="31"/>
        <v>2.2880434782608696</v>
      </c>
      <c r="AE29" s="238">
        <f t="shared" si="32"/>
        <v>2.4018691588785046</v>
      </c>
      <c r="AF29" s="238">
        <f t="shared" si="33"/>
        <v>2.2450704225352114</v>
      </c>
      <c r="AG29" s="239">
        <f t="shared" si="34"/>
        <v>2.449438202247191</v>
      </c>
      <c r="AH29" s="244" t="s">
        <v>148</v>
      </c>
      <c r="AI29" s="237">
        <v>5.71</v>
      </c>
      <c r="AJ29" s="241">
        <v>5.53</v>
      </c>
      <c r="AK29" s="241">
        <v>5.56</v>
      </c>
      <c r="AL29" s="241">
        <v>5.81</v>
      </c>
      <c r="AM29" s="241">
        <v>5.58</v>
      </c>
      <c r="AN29" s="241">
        <v>5.56</v>
      </c>
      <c r="AO29" s="241">
        <v>5.48</v>
      </c>
      <c r="AP29" s="241">
        <v>5.68</v>
      </c>
      <c r="AQ29" s="238">
        <v>5.54</v>
      </c>
      <c r="AR29" s="239">
        <v>5.67</v>
      </c>
      <c r="AS29" s="237">
        <v>3.01</v>
      </c>
      <c r="AT29" s="241">
        <v>3.12</v>
      </c>
      <c r="AU29" s="241">
        <v>2.74</v>
      </c>
      <c r="AV29" s="241">
        <v>3.15</v>
      </c>
      <c r="AW29" s="241">
        <v>2.99</v>
      </c>
      <c r="AX29" s="241">
        <v>3.15</v>
      </c>
      <c r="AY29" s="241">
        <v>2.95</v>
      </c>
      <c r="AZ29" s="241">
        <v>3.12</v>
      </c>
      <c r="BA29" s="238">
        <v>3.02</v>
      </c>
      <c r="BB29" s="239">
        <v>3.05</v>
      </c>
      <c r="BC29" s="237">
        <f t="shared" si="35"/>
        <v>1.8970099667774087</v>
      </c>
      <c r="BD29" s="238">
        <f t="shared" si="36"/>
        <v>1.7724358974358974</v>
      </c>
      <c r="BE29" s="238">
        <f t="shared" si="37"/>
        <v>2.0291970802919703</v>
      </c>
      <c r="BF29" s="238">
        <f t="shared" si="38"/>
        <v>1.8444444444444443</v>
      </c>
      <c r="BG29" s="238">
        <f t="shared" si="39"/>
        <v>1.866220735785953</v>
      </c>
      <c r="BH29" s="238">
        <f t="shared" si="40"/>
        <v>1.765079365079365</v>
      </c>
      <c r="BI29" s="238">
        <f t="shared" si="41"/>
        <v>1.8576271186440678</v>
      </c>
      <c r="BJ29" s="238">
        <f t="shared" si="42"/>
        <v>1.8205128205128203</v>
      </c>
      <c r="BK29" s="238">
        <f t="shared" si="43"/>
        <v>1.8344370860927153</v>
      </c>
      <c r="BL29" s="238">
        <f t="shared" si="44"/>
        <v>1.859016393442623</v>
      </c>
      <c r="BM29" s="373">
        <v>31.72</v>
      </c>
      <c r="BN29" s="373">
        <v>21.33</v>
      </c>
      <c r="BO29" s="374">
        <f t="shared" si="24"/>
        <v>0.6724464060529634</v>
      </c>
      <c r="BP29" s="373">
        <v>20.25</v>
      </c>
      <c r="BQ29" s="242">
        <f t="shared" si="13"/>
        <v>0.6383984867591426</v>
      </c>
      <c r="BS29" s="234"/>
    </row>
    <row r="30" spans="1:71" ht="15">
      <c r="A30" s="90">
        <v>540</v>
      </c>
      <c r="B30" s="235" t="s">
        <v>149</v>
      </c>
      <c r="C30" s="236">
        <v>3</v>
      </c>
      <c r="D30" s="237">
        <v>8.09</v>
      </c>
      <c r="E30" s="238">
        <v>7.9</v>
      </c>
      <c r="F30" s="238">
        <v>7.75</v>
      </c>
      <c r="G30" s="238">
        <v>7.76</v>
      </c>
      <c r="H30" s="238">
        <v>8.14</v>
      </c>
      <c r="I30" s="238">
        <v>8.02</v>
      </c>
      <c r="J30" s="238">
        <v>7.85</v>
      </c>
      <c r="K30" s="238">
        <v>8.08</v>
      </c>
      <c r="L30" s="238">
        <v>8.46</v>
      </c>
      <c r="M30" s="239">
        <v>8.51</v>
      </c>
      <c r="N30" s="237">
        <v>3.26</v>
      </c>
      <c r="O30" s="238">
        <v>3.48</v>
      </c>
      <c r="P30" s="238">
        <v>3.31</v>
      </c>
      <c r="Q30" s="238">
        <v>3.51</v>
      </c>
      <c r="R30" s="238">
        <v>3.12</v>
      </c>
      <c r="S30" s="238">
        <v>3.62</v>
      </c>
      <c r="T30" s="238">
        <v>3.47</v>
      </c>
      <c r="U30" s="238">
        <v>3.44</v>
      </c>
      <c r="V30" s="238">
        <v>3.45</v>
      </c>
      <c r="W30" s="240">
        <v>3.44</v>
      </c>
      <c r="X30" s="237">
        <f t="shared" si="25"/>
        <v>2.48159509202454</v>
      </c>
      <c r="Y30" s="238">
        <f t="shared" si="26"/>
        <v>2.270114942528736</v>
      </c>
      <c r="Z30" s="238">
        <f t="shared" si="27"/>
        <v>2.3413897280966767</v>
      </c>
      <c r="AA30" s="238">
        <f t="shared" si="28"/>
        <v>2.210826210826211</v>
      </c>
      <c r="AB30" s="238">
        <f t="shared" si="29"/>
        <v>2.608974358974359</v>
      </c>
      <c r="AC30" s="238">
        <f t="shared" si="30"/>
        <v>2.2154696132596685</v>
      </c>
      <c r="AD30" s="238">
        <f t="shared" si="31"/>
        <v>2.2622478386167146</v>
      </c>
      <c r="AE30" s="238">
        <f t="shared" si="32"/>
        <v>2.3488372093023258</v>
      </c>
      <c r="AF30" s="238">
        <f t="shared" si="33"/>
        <v>2.4521739130434783</v>
      </c>
      <c r="AG30" s="239">
        <f t="shared" si="34"/>
        <v>2.4738372093023258</v>
      </c>
      <c r="AH30" s="235" t="s">
        <v>149</v>
      </c>
      <c r="AI30" s="237">
        <v>5.68</v>
      </c>
      <c r="AJ30" s="241">
        <v>5.44</v>
      </c>
      <c r="AK30" s="241">
        <v>5.71</v>
      </c>
      <c r="AL30" s="241">
        <v>5.45</v>
      </c>
      <c r="AM30" s="241">
        <v>5.57</v>
      </c>
      <c r="AN30" s="241">
        <v>5.71</v>
      </c>
      <c r="AO30" s="241">
        <v>5.59</v>
      </c>
      <c r="AP30" s="241">
        <v>5.62</v>
      </c>
      <c r="AQ30" s="238">
        <v>5.62</v>
      </c>
      <c r="AR30" s="239">
        <v>5.71</v>
      </c>
      <c r="AS30" s="237">
        <v>2.85</v>
      </c>
      <c r="AT30" s="241">
        <v>2.96</v>
      </c>
      <c r="AU30" s="241">
        <v>2.99</v>
      </c>
      <c r="AV30" s="241">
        <v>2.54</v>
      </c>
      <c r="AW30" s="241">
        <v>3.03</v>
      </c>
      <c r="AX30" s="241">
        <v>2.94</v>
      </c>
      <c r="AY30" s="241">
        <v>3.01</v>
      </c>
      <c r="AZ30" s="241">
        <v>2.98</v>
      </c>
      <c r="BA30" s="238">
        <v>2.94</v>
      </c>
      <c r="BB30" s="239">
        <v>2.83</v>
      </c>
      <c r="BC30" s="237">
        <f t="shared" si="35"/>
        <v>1.9929824561403506</v>
      </c>
      <c r="BD30" s="238">
        <f t="shared" si="36"/>
        <v>1.837837837837838</v>
      </c>
      <c r="BE30" s="238">
        <f t="shared" si="37"/>
        <v>1.9096989966555182</v>
      </c>
      <c r="BF30" s="238">
        <f t="shared" si="38"/>
        <v>2.145669291338583</v>
      </c>
      <c r="BG30" s="238">
        <f t="shared" si="39"/>
        <v>1.8382838283828384</v>
      </c>
      <c r="BH30" s="238">
        <f t="shared" si="40"/>
        <v>1.9421768707482994</v>
      </c>
      <c r="BI30" s="238">
        <f t="shared" si="41"/>
        <v>1.8571428571428572</v>
      </c>
      <c r="BJ30" s="238">
        <f t="shared" si="42"/>
        <v>1.8859060402684564</v>
      </c>
      <c r="BK30" s="238">
        <f t="shared" si="43"/>
        <v>1.9115646258503403</v>
      </c>
      <c r="BL30" s="238">
        <f t="shared" si="44"/>
        <v>2.0176678445229683</v>
      </c>
      <c r="BM30" s="373">
        <f>2*14.49</f>
        <v>28.98</v>
      </c>
      <c r="BN30" s="373">
        <f>2*9.85</f>
        <v>19.7</v>
      </c>
      <c r="BO30" s="374">
        <f t="shared" si="24"/>
        <v>0.6797791580400275</v>
      </c>
      <c r="BP30" s="373">
        <f>2*9.63</f>
        <v>19.26</v>
      </c>
      <c r="BQ30" s="242">
        <f t="shared" si="13"/>
        <v>0.6645962732919255</v>
      </c>
      <c r="BS30" s="234"/>
    </row>
    <row r="31" spans="1:71" ht="15">
      <c r="A31" s="90">
        <v>547</v>
      </c>
      <c r="B31" s="243" t="s">
        <v>150</v>
      </c>
      <c r="C31" s="236"/>
      <c r="D31" s="237"/>
      <c r="E31" s="238"/>
      <c r="F31" s="238"/>
      <c r="G31" s="238"/>
      <c r="H31" s="238"/>
      <c r="I31" s="238"/>
      <c r="J31" s="238"/>
      <c r="K31" s="238"/>
      <c r="L31" s="238"/>
      <c r="M31" s="239"/>
      <c r="N31" s="237"/>
      <c r="O31" s="238"/>
      <c r="P31" s="238"/>
      <c r="Q31" s="238"/>
      <c r="R31" s="238"/>
      <c r="S31" s="238"/>
      <c r="T31" s="238"/>
      <c r="U31" s="238"/>
      <c r="V31" s="238"/>
      <c r="W31" s="240"/>
      <c r="X31" s="237"/>
      <c r="Y31" s="238"/>
      <c r="Z31" s="238"/>
      <c r="AA31" s="238"/>
      <c r="AB31" s="238"/>
      <c r="AC31" s="238"/>
      <c r="AD31" s="238"/>
      <c r="AE31" s="238"/>
      <c r="AF31" s="238"/>
      <c r="AG31" s="239"/>
      <c r="AH31" s="243" t="s">
        <v>150</v>
      </c>
      <c r="AI31" s="237"/>
      <c r="AJ31" s="241"/>
      <c r="AK31" s="241"/>
      <c r="AL31" s="241"/>
      <c r="AM31" s="241"/>
      <c r="AN31" s="241"/>
      <c r="AO31" s="241"/>
      <c r="AP31" s="241"/>
      <c r="AQ31" s="238"/>
      <c r="AR31" s="239"/>
      <c r="AS31" s="237"/>
      <c r="AT31" s="241"/>
      <c r="AU31" s="241"/>
      <c r="AV31" s="241"/>
      <c r="AW31" s="241"/>
      <c r="AX31" s="241"/>
      <c r="AY31" s="241"/>
      <c r="AZ31" s="241"/>
      <c r="BA31" s="238"/>
      <c r="BB31" s="239"/>
      <c r="BC31" s="237"/>
      <c r="BD31" s="238"/>
      <c r="BE31" s="238"/>
      <c r="BF31" s="238"/>
      <c r="BG31" s="238"/>
      <c r="BH31" s="238"/>
      <c r="BI31" s="238"/>
      <c r="BJ31" s="238"/>
      <c r="BK31" s="238"/>
      <c r="BL31" s="238"/>
      <c r="BM31" s="373"/>
      <c r="BN31" s="373"/>
      <c r="BO31" s="374"/>
      <c r="BP31" s="373"/>
      <c r="BQ31" s="242"/>
      <c r="BS31" s="234"/>
    </row>
    <row r="32" spans="1:71" ht="15">
      <c r="A32" s="90">
        <v>553</v>
      </c>
      <c r="B32" s="243" t="s">
        <v>151</v>
      </c>
      <c r="C32" s="236">
        <v>3</v>
      </c>
      <c r="D32" s="237">
        <v>9.42</v>
      </c>
      <c r="E32" s="238">
        <v>8.9</v>
      </c>
      <c r="F32" s="238">
        <v>8.72</v>
      </c>
      <c r="G32" s="238">
        <v>8.92</v>
      </c>
      <c r="H32" s="238">
        <v>9.07</v>
      </c>
      <c r="I32" s="238">
        <v>9.41</v>
      </c>
      <c r="J32" s="238">
        <v>9.48</v>
      </c>
      <c r="K32" s="238">
        <v>9.16</v>
      </c>
      <c r="L32" s="238">
        <v>8.67</v>
      </c>
      <c r="M32" s="239">
        <v>9.27</v>
      </c>
      <c r="N32" s="237">
        <v>3.3</v>
      </c>
      <c r="O32" s="238">
        <v>2.84</v>
      </c>
      <c r="P32" s="238">
        <v>3.16</v>
      </c>
      <c r="Q32" s="238">
        <v>3.16</v>
      </c>
      <c r="R32" s="238">
        <v>3.33</v>
      </c>
      <c r="S32" s="238">
        <v>3.19</v>
      </c>
      <c r="T32" s="238">
        <v>3.37</v>
      </c>
      <c r="U32" s="238">
        <v>3.3</v>
      </c>
      <c r="V32" s="238">
        <v>3.28</v>
      </c>
      <c r="W32" s="240">
        <v>3.04</v>
      </c>
      <c r="X32" s="237">
        <f t="shared" si="25"/>
        <v>2.8545454545454545</v>
      </c>
      <c r="Y32" s="238">
        <f t="shared" si="26"/>
        <v>3.133802816901409</v>
      </c>
      <c r="Z32" s="238">
        <f t="shared" si="27"/>
        <v>2.759493670886076</v>
      </c>
      <c r="AA32" s="238">
        <f t="shared" si="28"/>
        <v>2.8227848101265822</v>
      </c>
      <c r="AB32" s="238">
        <f t="shared" si="29"/>
        <v>2.7237237237237237</v>
      </c>
      <c r="AC32" s="238">
        <f t="shared" si="30"/>
        <v>2.949843260188088</v>
      </c>
      <c r="AD32" s="238">
        <f t="shared" si="31"/>
        <v>2.8130563798219583</v>
      </c>
      <c r="AE32" s="238">
        <f t="shared" si="32"/>
        <v>2.775757575757576</v>
      </c>
      <c r="AF32" s="238">
        <f t="shared" si="33"/>
        <v>2.6432926829268295</v>
      </c>
      <c r="AG32" s="239">
        <f t="shared" si="34"/>
        <v>3.0493421052631575</v>
      </c>
      <c r="AH32" s="243" t="s">
        <v>151</v>
      </c>
      <c r="AI32" s="237">
        <v>6.99</v>
      </c>
      <c r="AJ32" s="241">
        <v>6.81</v>
      </c>
      <c r="AK32" s="241">
        <v>7</v>
      </c>
      <c r="AL32" s="241">
        <v>6.72</v>
      </c>
      <c r="AM32" s="241">
        <v>6.49</v>
      </c>
      <c r="AN32" s="241">
        <v>6.58</v>
      </c>
      <c r="AO32" s="241">
        <v>7.01</v>
      </c>
      <c r="AP32" s="241">
        <v>6.72</v>
      </c>
      <c r="AQ32" s="238">
        <v>6.4</v>
      </c>
      <c r="AR32" s="239">
        <v>6.69</v>
      </c>
      <c r="AS32" s="237">
        <v>2.91</v>
      </c>
      <c r="AT32" s="241">
        <v>2.85</v>
      </c>
      <c r="AU32" s="241">
        <v>2.77</v>
      </c>
      <c r="AV32" s="241">
        <v>2.82</v>
      </c>
      <c r="AW32" s="241">
        <v>2.66</v>
      </c>
      <c r="AX32" s="241">
        <v>2.89</v>
      </c>
      <c r="AY32" s="241">
        <v>2.69</v>
      </c>
      <c r="AZ32" s="241">
        <v>2.73</v>
      </c>
      <c r="BA32" s="238">
        <v>2.66</v>
      </c>
      <c r="BB32" s="239">
        <v>2.79</v>
      </c>
      <c r="BC32" s="237">
        <f t="shared" si="35"/>
        <v>2.402061855670103</v>
      </c>
      <c r="BD32" s="238">
        <f t="shared" si="36"/>
        <v>2.389473684210526</v>
      </c>
      <c r="BE32" s="238">
        <f t="shared" si="37"/>
        <v>2.527075812274368</v>
      </c>
      <c r="BF32" s="238">
        <f t="shared" si="38"/>
        <v>2.382978723404255</v>
      </c>
      <c r="BG32" s="238">
        <f t="shared" si="39"/>
        <v>2.4398496240601504</v>
      </c>
      <c r="BH32" s="238">
        <f t="shared" si="40"/>
        <v>2.2768166089965396</v>
      </c>
      <c r="BI32" s="238">
        <f t="shared" si="41"/>
        <v>2.6059479553903344</v>
      </c>
      <c r="BJ32" s="238">
        <f t="shared" si="42"/>
        <v>2.4615384615384617</v>
      </c>
      <c r="BK32" s="238">
        <f t="shared" si="43"/>
        <v>2.406015037593985</v>
      </c>
      <c r="BL32" s="238">
        <f t="shared" si="44"/>
        <v>2.3978494623655915</v>
      </c>
      <c r="BM32" s="373">
        <v>29.96</v>
      </c>
      <c r="BN32" s="373">
        <v>21.03</v>
      </c>
      <c r="BO32" s="374">
        <f t="shared" si="24"/>
        <v>0.701935914552737</v>
      </c>
      <c r="BP32" s="373">
        <v>19.5</v>
      </c>
      <c r="BQ32" s="242">
        <f t="shared" si="13"/>
        <v>0.6508678237650201</v>
      </c>
      <c r="BS32" s="234"/>
    </row>
    <row r="33" spans="1:71" ht="15">
      <c r="A33" s="90">
        <v>597</v>
      </c>
      <c r="B33" s="243" t="s">
        <v>152</v>
      </c>
      <c r="C33" s="236">
        <v>3</v>
      </c>
      <c r="D33" s="237">
        <v>7.48</v>
      </c>
      <c r="E33" s="238">
        <v>7.68</v>
      </c>
      <c r="F33" s="238">
        <v>8.31</v>
      </c>
      <c r="G33" s="238">
        <v>8.08</v>
      </c>
      <c r="H33" s="238">
        <v>8.13</v>
      </c>
      <c r="I33" s="238">
        <v>7.76</v>
      </c>
      <c r="J33" s="238">
        <v>8.02</v>
      </c>
      <c r="K33" s="238">
        <v>8.02</v>
      </c>
      <c r="L33" s="238">
        <v>7.86</v>
      </c>
      <c r="M33" s="239">
        <v>8.12</v>
      </c>
      <c r="N33" s="237">
        <v>2.95</v>
      </c>
      <c r="O33" s="238">
        <v>3.22</v>
      </c>
      <c r="P33" s="238">
        <v>3.4</v>
      </c>
      <c r="Q33" s="238">
        <v>3.34</v>
      </c>
      <c r="R33" s="238">
        <v>3.37</v>
      </c>
      <c r="S33" s="238">
        <v>3.18</v>
      </c>
      <c r="T33" s="238">
        <v>3.37</v>
      </c>
      <c r="U33" s="238">
        <v>3.44</v>
      </c>
      <c r="V33" s="238">
        <v>2.98</v>
      </c>
      <c r="W33" s="240">
        <v>3.36</v>
      </c>
      <c r="X33" s="237">
        <f t="shared" si="25"/>
        <v>2.535593220338983</v>
      </c>
      <c r="Y33" s="238">
        <f t="shared" si="26"/>
        <v>2.385093167701863</v>
      </c>
      <c r="Z33" s="238">
        <f t="shared" si="27"/>
        <v>2.4441176470588237</v>
      </c>
      <c r="AA33" s="238">
        <f t="shared" si="28"/>
        <v>2.4191616766467066</v>
      </c>
      <c r="AB33" s="238">
        <f t="shared" si="29"/>
        <v>2.41246290801187</v>
      </c>
      <c r="AC33" s="238">
        <f t="shared" si="30"/>
        <v>2.440251572327044</v>
      </c>
      <c r="AD33" s="238">
        <f t="shared" si="31"/>
        <v>2.379821958456973</v>
      </c>
      <c r="AE33" s="238">
        <f t="shared" si="32"/>
        <v>2.331395348837209</v>
      </c>
      <c r="AF33" s="238">
        <f t="shared" si="33"/>
        <v>2.63758389261745</v>
      </c>
      <c r="AG33" s="239">
        <f t="shared" si="34"/>
        <v>2.4166666666666665</v>
      </c>
      <c r="AH33" s="243" t="s">
        <v>152</v>
      </c>
      <c r="AI33" s="237">
        <v>5.9</v>
      </c>
      <c r="AJ33" s="241">
        <v>5.58</v>
      </c>
      <c r="AK33" s="241">
        <v>5.33</v>
      </c>
      <c r="AL33" s="241">
        <v>5.71</v>
      </c>
      <c r="AM33" s="241">
        <v>5.54</v>
      </c>
      <c r="AN33" s="241">
        <v>5.78</v>
      </c>
      <c r="AO33" s="241">
        <v>5.66</v>
      </c>
      <c r="AP33" s="241">
        <v>5.67</v>
      </c>
      <c r="AQ33" s="238">
        <v>5.5</v>
      </c>
      <c r="AR33" s="239">
        <v>5.84</v>
      </c>
      <c r="AS33" s="237">
        <v>2.99</v>
      </c>
      <c r="AT33" s="241">
        <v>2.79</v>
      </c>
      <c r="AU33" s="241">
        <v>2.8</v>
      </c>
      <c r="AV33" s="241">
        <v>2.94</v>
      </c>
      <c r="AW33" s="241">
        <v>2.93</v>
      </c>
      <c r="AX33" s="241">
        <v>3.02</v>
      </c>
      <c r="AY33" s="241">
        <v>2.81</v>
      </c>
      <c r="AZ33" s="241">
        <v>2.92</v>
      </c>
      <c r="BA33" s="238">
        <v>2.88</v>
      </c>
      <c r="BB33" s="239">
        <v>2.91</v>
      </c>
      <c r="BC33" s="237">
        <f t="shared" si="35"/>
        <v>1.9732441471571907</v>
      </c>
      <c r="BD33" s="238">
        <f t="shared" si="36"/>
        <v>2</v>
      </c>
      <c r="BE33" s="238">
        <f t="shared" si="37"/>
        <v>1.9035714285714287</v>
      </c>
      <c r="BF33" s="238">
        <f t="shared" si="38"/>
        <v>1.9421768707482994</v>
      </c>
      <c r="BG33" s="238">
        <f t="shared" si="39"/>
        <v>1.8907849829351535</v>
      </c>
      <c r="BH33" s="238">
        <f t="shared" si="40"/>
        <v>1.913907284768212</v>
      </c>
      <c r="BI33" s="238">
        <f t="shared" si="41"/>
        <v>2.01423487544484</v>
      </c>
      <c r="BJ33" s="238">
        <f t="shared" si="42"/>
        <v>1.9417808219178083</v>
      </c>
      <c r="BK33" s="238">
        <f t="shared" si="43"/>
        <v>1.9097222222222223</v>
      </c>
      <c r="BL33" s="238">
        <f t="shared" si="44"/>
        <v>2.006872852233677</v>
      </c>
      <c r="BM33" s="373">
        <v>27.36</v>
      </c>
      <c r="BN33" s="373">
        <v>18.74</v>
      </c>
      <c r="BO33" s="374">
        <f t="shared" si="24"/>
        <v>0.6849415204678362</v>
      </c>
      <c r="BP33" s="373">
        <v>17.03</v>
      </c>
      <c r="BQ33" s="242">
        <f t="shared" si="13"/>
        <v>0.6224415204678363</v>
      </c>
      <c r="BS33" s="234"/>
    </row>
    <row r="34" spans="1:71" ht="15">
      <c r="A34" s="90">
        <v>635</v>
      </c>
      <c r="B34" s="243" t="s">
        <v>153</v>
      </c>
      <c r="C34" s="236">
        <v>3</v>
      </c>
      <c r="D34" s="237">
        <v>8.75</v>
      </c>
      <c r="E34" s="238">
        <v>9.04</v>
      </c>
      <c r="F34" s="238">
        <v>9.1</v>
      </c>
      <c r="G34" s="238">
        <v>8.78</v>
      </c>
      <c r="H34" s="238">
        <v>8.9</v>
      </c>
      <c r="I34" s="238">
        <v>9.02</v>
      </c>
      <c r="J34" s="238">
        <v>8.46</v>
      </c>
      <c r="K34" s="238">
        <v>8.44</v>
      </c>
      <c r="L34" s="238">
        <v>8.55</v>
      </c>
      <c r="M34" s="239">
        <v>8.34</v>
      </c>
      <c r="N34" s="237">
        <v>2.87</v>
      </c>
      <c r="O34" s="238">
        <v>2.85</v>
      </c>
      <c r="P34" s="238">
        <v>3.18</v>
      </c>
      <c r="Q34" s="238">
        <v>2.93</v>
      </c>
      <c r="R34" s="238">
        <v>2.93</v>
      </c>
      <c r="S34" s="238">
        <v>2.94</v>
      </c>
      <c r="T34" s="238">
        <v>2.92</v>
      </c>
      <c r="U34" s="238">
        <v>3.01</v>
      </c>
      <c r="V34" s="238">
        <v>2.96</v>
      </c>
      <c r="W34" s="240">
        <v>2.94</v>
      </c>
      <c r="X34" s="237">
        <f t="shared" si="25"/>
        <v>3.048780487804878</v>
      </c>
      <c r="Y34" s="238">
        <f t="shared" si="26"/>
        <v>3.171929824561403</v>
      </c>
      <c r="Z34" s="238">
        <f t="shared" si="27"/>
        <v>2.8616352201257858</v>
      </c>
      <c r="AA34" s="238">
        <f t="shared" si="28"/>
        <v>2.9965870307167233</v>
      </c>
      <c r="AB34" s="238">
        <f t="shared" si="29"/>
        <v>3.037542662116041</v>
      </c>
      <c r="AC34" s="238">
        <f t="shared" si="30"/>
        <v>3.068027210884354</v>
      </c>
      <c r="AD34" s="238">
        <f t="shared" si="31"/>
        <v>2.897260273972603</v>
      </c>
      <c r="AE34" s="238">
        <f t="shared" si="32"/>
        <v>2.8039867109634553</v>
      </c>
      <c r="AF34" s="238">
        <f t="shared" si="33"/>
        <v>2.8885135135135136</v>
      </c>
      <c r="AG34" s="239">
        <f t="shared" si="34"/>
        <v>2.836734693877551</v>
      </c>
      <c r="AH34" s="243" t="s">
        <v>153</v>
      </c>
      <c r="AI34" s="237">
        <v>6.1</v>
      </c>
      <c r="AJ34" s="241">
        <v>6.11</v>
      </c>
      <c r="AK34" s="241">
        <v>6.11</v>
      </c>
      <c r="AL34" s="241">
        <v>6.4</v>
      </c>
      <c r="AM34" s="241">
        <v>6.07</v>
      </c>
      <c r="AN34" s="241">
        <v>6.63</v>
      </c>
      <c r="AO34" s="241">
        <v>6.7</v>
      </c>
      <c r="AP34" s="241">
        <v>6.19</v>
      </c>
      <c r="AQ34" s="238">
        <v>6.53</v>
      </c>
      <c r="AR34" s="239">
        <v>6.12</v>
      </c>
      <c r="AS34" s="237">
        <v>2.58</v>
      </c>
      <c r="AT34" s="241">
        <v>2.39</v>
      </c>
      <c r="AU34" s="241">
        <v>2.52</v>
      </c>
      <c r="AV34" s="241">
        <v>2.56</v>
      </c>
      <c r="AW34" s="241">
        <v>2.56</v>
      </c>
      <c r="AX34" s="241">
        <v>2.59</v>
      </c>
      <c r="AY34" s="241">
        <v>2.62</v>
      </c>
      <c r="AZ34" s="241">
        <v>2.53</v>
      </c>
      <c r="BA34" s="238">
        <v>2.56</v>
      </c>
      <c r="BB34" s="239">
        <v>2.46</v>
      </c>
      <c r="BC34" s="237">
        <f t="shared" si="35"/>
        <v>2.3643410852713176</v>
      </c>
      <c r="BD34" s="238">
        <f t="shared" si="36"/>
        <v>2.5564853556485354</v>
      </c>
      <c r="BE34" s="238">
        <f t="shared" si="37"/>
        <v>2.424603174603175</v>
      </c>
      <c r="BF34" s="238">
        <f t="shared" si="38"/>
        <v>2.5</v>
      </c>
      <c r="BG34" s="238">
        <f t="shared" si="39"/>
        <v>2.37109375</v>
      </c>
      <c r="BH34" s="238">
        <f t="shared" si="40"/>
        <v>2.55984555984556</v>
      </c>
      <c r="BI34" s="238">
        <f t="shared" si="41"/>
        <v>2.5572519083969465</v>
      </c>
      <c r="BJ34" s="238">
        <f t="shared" si="42"/>
        <v>2.446640316205534</v>
      </c>
      <c r="BK34" s="238">
        <f t="shared" si="43"/>
        <v>2.55078125</v>
      </c>
      <c r="BL34" s="238">
        <f t="shared" si="44"/>
        <v>2.4878048780487805</v>
      </c>
      <c r="BM34" s="373">
        <v>27.52</v>
      </c>
      <c r="BN34" s="373">
        <v>19.54</v>
      </c>
      <c r="BO34" s="374">
        <f t="shared" si="24"/>
        <v>0.7100290697674418</v>
      </c>
      <c r="BP34" s="373">
        <v>18.29</v>
      </c>
      <c r="BQ34" s="242">
        <f t="shared" si="13"/>
        <v>0.6646075581395349</v>
      </c>
      <c r="BS34" s="234"/>
    </row>
    <row r="35" spans="1:71" ht="15">
      <c r="A35" s="90">
        <v>667</v>
      </c>
      <c r="B35" s="243" t="s">
        <v>154</v>
      </c>
      <c r="C35" s="236">
        <v>3</v>
      </c>
      <c r="D35" s="237">
        <v>9.07</v>
      </c>
      <c r="E35" s="238">
        <v>8.24</v>
      </c>
      <c r="F35" s="238">
        <v>8.83</v>
      </c>
      <c r="G35" s="238">
        <v>8.18</v>
      </c>
      <c r="H35" s="238">
        <v>9.56</v>
      </c>
      <c r="I35" s="238">
        <v>9</v>
      </c>
      <c r="J35" s="238">
        <v>9.21</v>
      </c>
      <c r="K35" s="238">
        <v>9.27</v>
      </c>
      <c r="L35" s="238">
        <v>9.24</v>
      </c>
      <c r="M35" s="239">
        <v>8.61</v>
      </c>
      <c r="N35" s="237">
        <v>2.46</v>
      </c>
      <c r="O35" s="238">
        <v>2.55</v>
      </c>
      <c r="P35" s="238">
        <v>2.42</v>
      </c>
      <c r="Q35" s="238">
        <v>2.47</v>
      </c>
      <c r="R35" s="238">
        <v>2.55</v>
      </c>
      <c r="S35" s="238">
        <v>2.46</v>
      </c>
      <c r="T35" s="238">
        <v>2.43</v>
      </c>
      <c r="U35" s="238">
        <v>2.37</v>
      </c>
      <c r="V35" s="238">
        <v>2.49</v>
      </c>
      <c r="W35" s="240">
        <v>2.46</v>
      </c>
      <c r="X35" s="237">
        <f t="shared" si="25"/>
        <v>3.686991869918699</v>
      </c>
      <c r="Y35" s="238">
        <f t="shared" si="26"/>
        <v>3.2313725490196084</v>
      </c>
      <c r="Z35" s="238">
        <f t="shared" si="27"/>
        <v>3.6487603305785123</v>
      </c>
      <c r="AA35" s="238">
        <f t="shared" si="28"/>
        <v>3.3117408906882586</v>
      </c>
      <c r="AB35" s="238">
        <f t="shared" si="29"/>
        <v>3.7490196078431377</v>
      </c>
      <c r="AC35" s="238">
        <f t="shared" si="30"/>
        <v>3.658536585365854</v>
      </c>
      <c r="AD35" s="238">
        <f t="shared" si="31"/>
        <v>3.7901234567901234</v>
      </c>
      <c r="AE35" s="238">
        <f t="shared" si="32"/>
        <v>3.9113924050632907</v>
      </c>
      <c r="AF35" s="238">
        <f t="shared" si="33"/>
        <v>3.710843373493976</v>
      </c>
      <c r="AG35" s="239">
        <f t="shared" si="34"/>
        <v>3.5</v>
      </c>
      <c r="AH35" s="243" t="s">
        <v>154</v>
      </c>
      <c r="AI35" s="237">
        <v>6.46</v>
      </c>
      <c r="AJ35" s="241">
        <v>6.99</v>
      </c>
      <c r="AK35" s="241">
        <v>6.66</v>
      </c>
      <c r="AL35" s="241">
        <v>6.31</v>
      </c>
      <c r="AM35" s="241">
        <v>6.39</v>
      </c>
      <c r="AN35" s="241">
        <v>7.31</v>
      </c>
      <c r="AO35" s="241">
        <v>6.47</v>
      </c>
      <c r="AP35" s="241">
        <v>6.87</v>
      </c>
      <c r="AQ35" s="238">
        <v>5.91</v>
      </c>
      <c r="AR35" s="239">
        <v>7.32</v>
      </c>
      <c r="AS35" s="237">
        <v>2.09</v>
      </c>
      <c r="AT35" s="241">
        <v>2.14</v>
      </c>
      <c r="AU35" s="241">
        <v>2.09</v>
      </c>
      <c r="AV35" s="241">
        <v>2.16</v>
      </c>
      <c r="AW35" s="241">
        <v>1.98</v>
      </c>
      <c r="AX35" s="241">
        <v>2.21</v>
      </c>
      <c r="AY35" s="241">
        <v>1.98</v>
      </c>
      <c r="AZ35" s="241">
        <v>2.21</v>
      </c>
      <c r="BA35" s="238">
        <v>1.91</v>
      </c>
      <c r="BB35" s="239">
        <v>2.16</v>
      </c>
      <c r="BC35" s="237">
        <f t="shared" si="35"/>
        <v>3.0909090909090913</v>
      </c>
      <c r="BD35" s="238">
        <f t="shared" si="36"/>
        <v>3.2663551401869158</v>
      </c>
      <c r="BE35" s="238">
        <f t="shared" si="37"/>
        <v>3.1866028708133975</v>
      </c>
      <c r="BF35" s="238">
        <f t="shared" si="38"/>
        <v>2.921296296296296</v>
      </c>
      <c r="BG35" s="238">
        <f t="shared" si="39"/>
        <v>3.227272727272727</v>
      </c>
      <c r="BH35" s="238">
        <f t="shared" si="40"/>
        <v>3.3076923076923075</v>
      </c>
      <c r="BI35" s="238">
        <f t="shared" si="41"/>
        <v>3.2676767676767677</v>
      </c>
      <c r="BJ35" s="238">
        <f t="shared" si="42"/>
        <v>3.1085972850678734</v>
      </c>
      <c r="BK35" s="238">
        <f t="shared" si="43"/>
        <v>3.094240837696335</v>
      </c>
      <c r="BL35" s="238">
        <f t="shared" si="44"/>
        <v>3.388888888888889</v>
      </c>
      <c r="BM35" s="373">
        <v>20.17</v>
      </c>
      <c r="BN35" s="373">
        <v>14.73</v>
      </c>
      <c r="BO35" s="374">
        <f t="shared" si="24"/>
        <v>0.7302925136341101</v>
      </c>
      <c r="BP35" s="373">
        <v>13.07</v>
      </c>
      <c r="BQ35" s="242">
        <f t="shared" si="13"/>
        <v>0.6479920674268715</v>
      </c>
      <c r="BS35" s="234"/>
    </row>
    <row r="36" spans="1:71" ht="15">
      <c r="A36" s="90">
        <v>669</v>
      </c>
      <c r="B36" s="243" t="s">
        <v>155</v>
      </c>
      <c r="C36" s="236"/>
      <c r="D36" s="237"/>
      <c r="E36" s="238"/>
      <c r="F36" s="238"/>
      <c r="G36" s="238"/>
      <c r="H36" s="238"/>
      <c r="I36" s="238"/>
      <c r="J36" s="238"/>
      <c r="K36" s="238"/>
      <c r="L36" s="238"/>
      <c r="M36" s="239"/>
      <c r="N36" s="237"/>
      <c r="O36" s="238"/>
      <c r="P36" s="238"/>
      <c r="Q36" s="238"/>
      <c r="R36" s="238"/>
      <c r="S36" s="238"/>
      <c r="T36" s="238"/>
      <c r="U36" s="238"/>
      <c r="V36" s="238"/>
      <c r="W36" s="240"/>
      <c r="X36" s="237"/>
      <c r="Y36" s="238"/>
      <c r="Z36" s="238"/>
      <c r="AA36" s="238"/>
      <c r="AB36" s="238"/>
      <c r="AC36" s="238"/>
      <c r="AD36" s="238"/>
      <c r="AE36" s="238"/>
      <c r="AF36" s="238"/>
      <c r="AG36" s="239"/>
      <c r="AH36" s="243" t="s">
        <v>155</v>
      </c>
      <c r="AI36" s="237"/>
      <c r="AJ36" s="241"/>
      <c r="AK36" s="241"/>
      <c r="AL36" s="241"/>
      <c r="AM36" s="241"/>
      <c r="AN36" s="241"/>
      <c r="AO36" s="241"/>
      <c r="AP36" s="241"/>
      <c r="AQ36" s="238"/>
      <c r="AR36" s="239"/>
      <c r="AS36" s="237"/>
      <c r="AT36" s="241"/>
      <c r="AU36" s="241"/>
      <c r="AV36" s="241"/>
      <c r="AW36" s="241"/>
      <c r="AX36" s="241"/>
      <c r="AY36" s="241"/>
      <c r="AZ36" s="241"/>
      <c r="BA36" s="238"/>
      <c r="BB36" s="239"/>
      <c r="BC36" s="237"/>
      <c r="BD36" s="238"/>
      <c r="BE36" s="238"/>
      <c r="BF36" s="238"/>
      <c r="BG36" s="238"/>
      <c r="BH36" s="238"/>
      <c r="BI36" s="238"/>
      <c r="BJ36" s="238"/>
      <c r="BK36" s="238"/>
      <c r="BL36" s="238"/>
      <c r="BM36" s="373"/>
      <c r="BN36" s="373"/>
      <c r="BO36" s="374"/>
      <c r="BP36" s="373"/>
      <c r="BQ36" s="242"/>
      <c r="BS36" s="234"/>
    </row>
    <row r="37" spans="1:71" ht="15">
      <c r="A37" s="90">
        <v>670</v>
      </c>
      <c r="B37" s="243" t="s">
        <v>156</v>
      </c>
      <c r="C37" s="236">
        <v>3</v>
      </c>
      <c r="D37" s="237">
        <v>8.63</v>
      </c>
      <c r="E37" s="238">
        <v>8.02</v>
      </c>
      <c r="F37" s="238">
        <v>9.3</v>
      </c>
      <c r="G37" s="238">
        <v>8.25</v>
      </c>
      <c r="H37" s="238">
        <v>8.79</v>
      </c>
      <c r="I37" s="238">
        <v>8.51</v>
      </c>
      <c r="J37" s="238">
        <v>8.16</v>
      </c>
      <c r="K37" s="238">
        <v>8.26</v>
      </c>
      <c r="L37" s="238">
        <v>8.93</v>
      </c>
      <c r="M37" s="239">
        <v>8.69</v>
      </c>
      <c r="N37" s="237">
        <v>2.55</v>
      </c>
      <c r="O37" s="238">
        <v>2.62</v>
      </c>
      <c r="P37" s="238">
        <v>2.75</v>
      </c>
      <c r="Q37" s="238">
        <v>2.19</v>
      </c>
      <c r="R37" s="238">
        <v>2.61</v>
      </c>
      <c r="S37" s="238">
        <v>2.57</v>
      </c>
      <c r="T37" s="238">
        <v>2.31</v>
      </c>
      <c r="U37" s="238">
        <v>2.61</v>
      </c>
      <c r="V37" s="238">
        <v>2.93</v>
      </c>
      <c r="W37" s="240">
        <v>2.58</v>
      </c>
      <c r="X37" s="237">
        <f t="shared" si="25"/>
        <v>3.3843137254901965</v>
      </c>
      <c r="Y37" s="238">
        <f t="shared" si="26"/>
        <v>3.061068702290076</v>
      </c>
      <c r="Z37" s="238">
        <f t="shared" si="27"/>
        <v>3.3818181818181823</v>
      </c>
      <c r="AA37" s="238">
        <f t="shared" si="28"/>
        <v>3.767123287671233</v>
      </c>
      <c r="AB37" s="238">
        <f t="shared" si="29"/>
        <v>3.367816091954023</v>
      </c>
      <c r="AC37" s="238">
        <f t="shared" si="30"/>
        <v>3.3112840466926072</v>
      </c>
      <c r="AD37" s="238">
        <f t="shared" si="31"/>
        <v>3.5324675324675323</v>
      </c>
      <c r="AE37" s="238">
        <f t="shared" si="32"/>
        <v>3.164750957854406</v>
      </c>
      <c r="AF37" s="238">
        <f t="shared" si="33"/>
        <v>3.04778156996587</v>
      </c>
      <c r="AG37" s="239">
        <f t="shared" si="34"/>
        <v>3.3682170542635657</v>
      </c>
      <c r="AH37" s="243" t="s">
        <v>156</v>
      </c>
      <c r="AI37" s="237">
        <v>6.32</v>
      </c>
      <c r="AJ37" s="241">
        <v>6.43</v>
      </c>
      <c r="AK37" s="241">
        <v>6.78</v>
      </c>
      <c r="AL37" s="241">
        <v>6.56</v>
      </c>
      <c r="AM37" s="241">
        <v>6.13</v>
      </c>
      <c r="AN37" s="241">
        <v>5.87</v>
      </c>
      <c r="AO37" s="241">
        <v>6.89</v>
      </c>
      <c r="AP37" s="241">
        <v>6.71</v>
      </c>
      <c r="AQ37" s="238">
        <v>6.82</v>
      </c>
      <c r="AR37" s="239">
        <v>6.29</v>
      </c>
      <c r="AS37" s="237">
        <v>2</v>
      </c>
      <c r="AT37" s="241">
        <v>2.05</v>
      </c>
      <c r="AU37" s="241">
        <v>2.2</v>
      </c>
      <c r="AV37" s="241">
        <v>2.18</v>
      </c>
      <c r="AW37" s="241">
        <v>2.05</v>
      </c>
      <c r="AX37" s="241">
        <v>1.95</v>
      </c>
      <c r="AY37" s="241">
        <v>2.29</v>
      </c>
      <c r="AZ37" s="241">
        <v>2.21</v>
      </c>
      <c r="BA37" s="238">
        <v>2.2</v>
      </c>
      <c r="BB37" s="239">
        <v>2.11</v>
      </c>
      <c r="BC37" s="237">
        <f t="shared" si="35"/>
        <v>3.16</v>
      </c>
      <c r="BD37" s="238">
        <f t="shared" si="36"/>
        <v>3.1365853658536587</v>
      </c>
      <c r="BE37" s="238">
        <f t="shared" si="37"/>
        <v>3.0818181818181816</v>
      </c>
      <c r="BF37" s="238">
        <f t="shared" si="38"/>
        <v>3.0091743119266052</v>
      </c>
      <c r="BG37" s="238">
        <f t="shared" si="39"/>
        <v>2.9902439024390244</v>
      </c>
      <c r="BH37" s="238">
        <f t="shared" si="40"/>
        <v>3.01025641025641</v>
      </c>
      <c r="BI37" s="238">
        <f t="shared" si="41"/>
        <v>3.0087336244541483</v>
      </c>
      <c r="BJ37" s="238">
        <f t="shared" si="42"/>
        <v>3.0361990950226243</v>
      </c>
      <c r="BK37" s="238">
        <f t="shared" si="43"/>
        <v>3.1</v>
      </c>
      <c r="BL37" s="238">
        <f t="shared" si="44"/>
        <v>2.9810426540284363</v>
      </c>
      <c r="BM37" s="373">
        <f>5*3.99</f>
        <v>19.950000000000003</v>
      </c>
      <c r="BN37" s="373">
        <f>5*2.78</f>
        <v>13.899999999999999</v>
      </c>
      <c r="BO37" s="374">
        <f t="shared" si="24"/>
        <v>0.6967418546365913</v>
      </c>
      <c r="BP37" s="373">
        <f>5*2.56</f>
        <v>12.8</v>
      </c>
      <c r="BQ37" s="242">
        <f t="shared" si="13"/>
        <v>0.6416040100250626</v>
      </c>
      <c r="BS37" s="234"/>
    </row>
    <row r="38" spans="1:71" ht="15">
      <c r="A38" s="90">
        <v>674</v>
      </c>
      <c r="B38" s="243" t="s">
        <v>157</v>
      </c>
      <c r="C38" s="236">
        <v>1</v>
      </c>
      <c r="D38" s="237">
        <v>8.86</v>
      </c>
      <c r="E38" s="238">
        <v>9.06</v>
      </c>
      <c r="F38" s="238">
        <v>8.94</v>
      </c>
      <c r="G38" s="238">
        <v>9.18</v>
      </c>
      <c r="H38" s="238">
        <v>8.97</v>
      </c>
      <c r="I38" s="238">
        <v>9.84</v>
      </c>
      <c r="J38" s="238">
        <v>9.46</v>
      </c>
      <c r="K38" s="238">
        <v>9.02</v>
      </c>
      <c r="L38" s="238">
        <v>9.91</v>
      </c>
      <c r="M38" s="239">
        <v>9.22</v>
      </c>
      <c r="N38" s="237">
        <v>2.32</v>
      </c>
      <c r="O38" s="238">
        <v>2.58</v>
      </c>
      <c r="P38" s="238">
        <v>2.25</v>
      </c>
      <c r="Q38" s="238">
        <v>2.33</v>
      </c>
      <c r="R38" s="238">
        <v>2.28</v>
      </c>
      <c r="S38" s="238">
        <v>2.43</v>
      </c>
      <c r="T38" s="238">
        <v>2.3</v>
      </c>
      <c r="U38" s="238">
        <v>2.49</v>
      </c>
      <c r="V38" s="238">
        <v>2.36</v>
      </c>
      <c r="W38" s="240">
        <v>2.48</v>
      </c>
      <c r="X38" s="237">
        <f t="shared" si="25"/>
        <v>3.8189655172413794</v>
      </c>
      <c r="Y38" s="238">
        <f t="shared" si="26"/>
        <v>3.511627906976744</v>
      </c>
      <c r="Z38" s="238">
        <f t="shared" si="27"/>
        <v>3.973333333333333</v>
      </c>
      <c r="AA38" s="238">
        <f t="shared" si="28"/>
        <v>3.9399141630901284</v>
      </c>
      <c r="AB38" s="238">
        <f t="shared" si="29"/>
        <v>3.9342105263157903</v>
      </c>
      <c r="AC38" s="238">
        <f t="shared" si="30"/>
        <v>4.049382716049382</v>
      </c>
      <c r="AD38" s="238">
        <f t="shared" si="31"/>
        <v>4.11304347826087</v>
      </c>
      <c r="AE38" s="238">
        <f t="shared" si="32"/>
        <v>3.6224899598393567</v>
      </c>
      <c r="AF38" s="238">
        <f t="shared" si="33"/>
        <v>4.1991525423728815</v>
      </c>
      <c r="AG38" s="239">
        <f t="shared" si="34"/>
        <v>3.7177419354838714</v>
      </c>
      <c r="AH38" s="243" t="s">
        <v>157</v>
      </c>
      <c r="AI38" s="237">
        <v>6.59</v>
      </c>
      <c r="AJ38" s="241">
        <v>6.84</v>
      </c>
      <c r="AK38" s="241">
        <v>7.12</v>
      </c>
      <c r="AL38" s="241">
        <v>7.04</v>
      </c>
      <c r="AM38" s="241">
        <v>6.89</v>
      </c>
      <c r="AN38" s="241">
        <v>6.76</v>
      </c>
      <c r="AO38" s="241">
        <v>6.73</v>
      </c>
      <c r="AP38" s="241">
        <v>7.02</v>
      </c>
      <c r="AQ38" s="238">
        <v>6.54</v>
      </c>
      <c r="AR38" s="239">
        <v>6.96</v>
      </c>
      <c r="AS38" s="237">
        <v>2.15</v>
      </c>
      <c r="AT38" s="241">
        <v>1.93</v>
      </c>
      <c r="AU38" s="241">
        <v>1.99</v>
      </c>
      <c r="AV38" s="241">
        <v>2.13</v>
      </c>
      <c r="AW38" s="241">
        <v>2.11</v>
      </c>
      <c r="AX38" s="241">
        <v>1.93</v>
      </c>
      <c r="AY38" s="241">
        <v>2.02</v>
      </c>
      <c r="AZ38" s="241">
        <v>2.13</v>
      </c>
      <c r="BA38" s="238">
        <v>1.98</v>
      </c>
      <c r="BB38" s="239">
        <v>2.01</v>
      </c>
      <c r="BC38" s="237">
        <f t="shared" si="35"/>
        <v>3.0651162790697675</v>
      </c>
      <c r="BD38" s="238">
        <f t="shared" si="36"/>
        <v>3.5440414507772022</v>
      </c>
      <c r="BE38" s="238">
        <f t="shared" si="37"/>
        <v>3.577889447236181</v>
      </c>
      <c r="BF38" s="238">
        <f t="shared" si="38"/>
        <v>3.3051643192488265</v>
      </c>
      <c r="BG38" s="238">
        <f t="shared" si="39"/>
        <v>3.265402843601896</v>
      </c>
      <c r="BH38" s="238">
        <f t="shared" si="40"/>
        <v>3.5025906735751295</v>
      </c>
      <c r="BI38" s="238">
        <f t="shared" si="41"/>
        <v>3.331683168316832</v>
      </c>
      <c r="BJ38" s="238">
        <f t="shared" si="42"/>
        <v>3.295774647887324</v>
      </c>
      <c r="BK38" s="238">
        <f t="shared" si="43"/>
        <v>3.303030303030303</v>
      </c>
      <c r="BL38" s="238">
        <f t="shared" si="44"/>
        <v>3.4626865671641793</v>
      </c>
      <c r="BM38" s="373">
        <f>10*2.05</f>
        <v>20.5</v>
      </c>
      <c r="BN38" s="373">
        <f>10*1.45</f>
        <v>14.5</v>
      </c>
      <c r="BO38" s="374">
        <f t="shared" si="24"/>
        <v>0.7073170731707317</v>
      </c>
      <c r="BP38" s="373">
        <f>10*1.33</f>
        <v>13.3</v>
      </c>
      <c r="BQ38" s="242">
        <f t="shared" si="13"/>
        <v>0.6487804878048781</v>
      </c>
      <c r="BS38" s="234"/>
    </row>
    <row r="39" spans="1:71" ht="15">
      <c r="A39" s="90">
        <v>696</v>
      </c>
      <c r="B39" s="243" t="s">
        <v>158</v>
      </c>
      <c r="C39" s="236">
        <v>3</v>
      </c>
      <c r="D39" s="237">
        <v>7.17</v>
      </c>
      <c r="E39" s="238">
        <v>7.1</v>
      </c>
      <c r="F39" s="238">
        <v>7.33</v>
      </c>
      <c r="G39" s="238">
        <v>7</v>
      </c>
      <c r="H39" s="238">
        <v>7.61</v>
      </c>
      <c r="I39" s="238">
        <v>7.43</v>
      </c>
      <c r="J39" s="238">
        <v>6.85</v>
      </c>
      <c r="K39" s="238">
        <v>7.93</v>
      </c>
      <c r="L39" s="238">
        <v>6.57</v>
      </c>
      <c r="M39" s="239">
        <v>7.35</v>
      </c>
      <c r="N39" s="237">
        <v>3.66</v>
      </c>
      <c r="O39" s="238">
        <v>3.63</v>
      </c>
      <c r="P39" s="238">
        <v>3.71</v>
      </c>
      <c r="Q39" s="238">
        <v>3.57</v>
      </c>
      <c r="R39" s="238">
        <v>3.63</v>
      </c>
      <c r="S39" s="238">
        <v>3.69</v>
      </c>
      <c r="T39" s="238">
        <v>3.38</v>
      </c>
      <c r="U39" s="238">
        <v>3.79</v>
      </c>
      <c r="V39" s="238">
        <v>3.46</v>
      </c>
      <c r="W39" s="240">
        <v>3.51</v>
      </c>
      <c r="X39" s="237">
        <f t="shared" si="25"/>
        <v>1.9590163934426228</v>
      </c>
      <c r="Y39" s="238">
        <f t="shared" si="26"/>
        <v>1.955922865013774</v>
      </c>
      <c r="Z39" s="238">
        <f t="shared" si="27"/>
        <v>1.9757412398921834</v>
      </c>
      <c r="AA39" s="238">
        <f t="shared" si="28"/>
        <v>1.9607843137254903</v>
      </c>
      <c r="AB39" s="238">
        <f t="shared" si="29"/>
        <v>2.0964187327823693</v>
      </c>
      <c r="AC39" s="238">
        <f t="shared" si="30"/>
        <v>2.013550135501355</v>
      </c>
      <c r="AD39" s="238">
        <f t="shared" si="31"/>
        <v>2.026627218934911</v>
      </c>
      <c r="AE39" s="238">
        <f t="shared" si="32"/>
        <v>2.0923482849604222</v>
      </c>
      <c r="AF39" s="238">
        <f t="shared" si="33"/>
        <v>1.8988439306358382</v>
      </c>
      <c r="AG39" s="239">
        <f t="shared" si="34"/>
        <v>2.094017094017094</v>
      </c>
      <c r="AH39" s="243" t="s">
        <v>158</v>
      </c>
      <c r="AI39" s="237">
        <v>5.2</v>
      </c>
      <c r="AJ39" s="241">
        <v>5.16</v>
      </c>
      <c r="AK39" s="241">
        <v>5.01</v>
      </c>
      <c r="AL39" s="241">
        <v>5.26</v>
      </c>
      <c r="AM39" s="241">
        <v>5.09</v>
      </c>
      <c r="AN39" s="241">
        <v>5.54</v>
      </c>
      <c r="AO39" s="241">
        <v>5.09</v>
      </c>
      <c r="AP39" s="241">
        <v>4.88</v>
      </c>
      <c r="AQ39" s="238">
        <v>5.45</v>
      </c>
      <c r="AR39" s="239">
        <v>5.43</v>
      </c>
      <c r="AS39" s="237">
        <v>3.11</v>
      </c>
      <c r="AT39" s="241">
        <v>3.29</v>
      </c>
      <c r="AU39" s="241">
        <v>3.16</v>
      </c>
      <c r="AV39" s="241">
        <v>3.26</v>
      </c>
      <c r="AW39" s="241">
        <v>3.15</v>
      </c>
      <c r="AX39" s="241">
        <v>3.22</v>
      </c>
      <c r="AY39" s="241">
        <v>3.17</v>
      </c>
      <c r="AZ39" s="241">
        <v>3.25</v>
      </c>
      <c r="BA39" s="238">
        <v>3.15</v>
      </c>
      <c r="BB39" s="239">
        <v>3.28</v>
      </c>
      <c r="BC39" s="237">
        <f t="shared" si="35"/>
        <v>1.672025723472669</v>
      </c>
      <c r="BD39" s="238">
        <f t="shared" si="36"/>
        <v>1.56838905775076</v>
      </c>
      <c r="BE39" s="238">
        <f t="shared" si="37"/>
        <v>1.5854430379746833</v>
      </c>
      <c r="BF39" s="238">
        <f t="shared" si="38"/>
        <v>1.6134969325153374</v>
      </c>
      <c r="BG39" s="238">
        <f t="shared" si="39"/>
        <v>1.615873015873016</v>
      </c>
      <c r="BH39" s="238">
        <f t="shared" si="40"/>
        <v>1.7204968944099377</v>
      </c>
      <c r="BI39" s="238">
        <f t="shared" si="41"/>
        <v>1.6056782334384858</v>
      </c>
      <c r="BJ39" s="238">
        <f t="shared" si="42"/>
        <v>1.5015384615384615</v>
      </c>
      <c r="BK39" s="238">
        <f t="shared" si="43"/>
        <v>1.7301587301587302</v>
      </c>
      <c r="BL39" s="238">
        <f t="shared" si="44"/>
        <v>1.6554878048780488</v>
      </c>
      <c r="BM39" s="373">
        <v>30.15</v>
      </c>
      <c r="BN39" s="373">
        <v>20.19</v>
      </c>
      <c r="BO39" s="374">
        <f t="shared" si="24"/>
        <v>0.6696517412935324</v>
      </c>
      <c r="BP39" s="373">
        <v>19.16</v>
      </c>
      <c r="BQ39" s="242">
        <f t="shared" si="13"/>
        <v>0.6354892205638475</v>
      </c>
      <c r="BS39" s="234"/>
    </row>
    <row r="40" spans="1:71" ht="15">
      <c r="A40" s="90">
        <v>826</v>
      </c>
      <c r="B40" s="243" t="s">
        <v>159</v>
      </c>
      <c r="C40" s="236">
        <v>3</v>
      </c>
      <c r="D40" s="237">
        <v>8.18</v>
      </c>
      <c r="E40" s="238">
        <v>8.29</v>
      </c>
      <c r="F40" s="238">
        <v>8.64</v>
      </c>
      <c r="G40" s="238">
        <v>8.51</v>
      </c>
      <c r="H40" s="238">
        <v>7.79</v>
      </c>
      <c r="I40" s="238">
        <v>8.02</v>
      </c>
      <c r="J40" s="238">
        <v>7.48</v>
      </c>
      <c r="K40" s="238">
        <v>8.47</v>
      </c>
      <c r="L40" s="238">
        <v>7.88</v>
      </c>
      <c r="M40" s="239">
        <v>8.42</v>
      </c>
      <c r="N40" s="237">
        <v>3.38</v>
      </c>
      <c r="O40" s="238">
        <v>3.46</v>
      </c>
      <c r="P40" s="238">
        <v>3.48</v>
      </c>
      <c r="Q40" s="238">
        <v>3.46</v>
      </c>
      <c r="R40" s="238">
        <v>3.25</v>
      </c>
      <c r="S40" s="238">
        <v>3.41</v>
      </c>
      <c r="T40" s="238">
        <v>3.52</v>
      </c>
      <c r="U40" s="238">
        <v>3.44</v>
      </c>
      <c r="V40" s="238">
        <v>3.46</v>
      </c>
      <c r="W40" s="240">
        <v>3.59</v>
      </c>
      <c r="X40" s="237">
        <f t="shared" si="25"/>
        <v>2.4201183431952664</v>
      </c>
      <c r="Y40" s="238">
        <f t="shared" si="26"/>
        <v>2.3959537572254335</v>
      </c>
      <c r="Z40" s="238">
        <f t="shared" si="27"/>
        <v>2.4827586206896552</v>
      </c>
      <c r="AA40" s="238">
        <f t="shared" si="28"/>
        <v>2.459537572254335</v>
      </c>
      <c r="AB40" s="238">
        <f t="shared" si="29"/>
        <v>2.396923076923077</v>
      </c>
      <c r="AC40" s="238">
        <f t="shared" si="30"/>
        <v>2.351906158357771</v>
      </c>
      <c r="AD40" s="238">
        <f t="shared" si="31"/>
        <v>2.125</v>
      </c>
      <c r="AE40" s="238">
        <f t="shared" si="32"/>
        <v>2.4622093023255816</v>
      </c>
      <c r="AF40" s="238">
        <f t="shared" si="33"/>
        <v>2.277456647398844</v>
      </c>
      <c r="AG40" s="239">
        <f t="shared" si="34"/>
        <v>2.3454038997214486</v>
      </c>
      <c r="AH40" s="243" t="s">
        <v>159</v>
      </c>
      <c r="AI40" s="237">
        <v>5.85</v>
      </c>
      <c r="AJ40" s="241">
        <v>5.78</v>
      </c>
      <c r="AK40" s="241">
        <v>5.91</v>
      </c>
      <c r="AL40" s="241">
        <v>5.8</v>
      </c>
      <c r="AM40" s="241">
        <v>6.04</v>
      </c>
      <c r="AN40" s="241">
        <v>5.7</v>
      </c>
      <c r="AO40" s="241">
        <v>5.64</v>
      </c>
      <c r="AP40" s="241">
        <v>5.93</v>
      </c>
      <c r="AQ40" s="238">
        <v>5.74</v>
      </c>
      <c r="AR40" s="239">
        <v>5.52</v>
      </c>
      <c r="AS40" s="237">
        <v>3.05</v>
      </c>
      <c r="AT40" s="241">
        <v>2.82</v>
      </c>
      <c r="AU40" s="241">
        <v>3.02</v>
      </c>
      <c r="AV40" s="241">
        <v>3.02</v>
      </c>
      <c r="AW40" s="241">
        <v>3</v>
      </c>
      <c r="AX40" s="241">
        <v>3.02</v>
      </c>
      <c r="AY40" s="241">
        <v>2.97</v>
      </c>
      <c r="AZ40" s="241">
        <v>2.81</v>
      </c>
      <c r="BA40" s="238">
        <v>2.95</v>
      </c>
      <c r="BB40" s="239">
        <v>2.92</v>
      </c>
      <c r="BC40" s="237">
        <f t="shared" si="35"/>
        <v>1.9180327868852458</v>
      </c>
      <c r="BD40" s="238">
        <f t="shared" si="36"/>
        <v>2.049645390070922</v>
      </c>
      <c r="BE40" s="238">
        <f t="shared" si="37"/>
        <v>1.956953642384106</v>
      </c>
      <c r="BF40" s="238">
        <f t="shared" si="38"/>
        <v>1.9205298013245033</v>
      </c>
      <c r="BG40" s="238">
        <f t="shared" si="39"/>
        <v>2.013333333333333</v>
      </c>
      <c r="BH40" s="238">
        <f t="shared" si="40"/>
        <v>1.8874172185430464</v>
      </c>
      <c r="BI40" s="238">
        <f t="shared" si="41"/>
        <v>1.8989898989898988</v>
      </c>
      <c r="BJ40" s="238">
        <f t="shared" si="42"/>
        <v>2.110320284697509</v>
      </c>
      <c r="BK40" s="238">
        <f t="shared" si="43"/>
        <v>1.9457627118644067</v>
      </c>
      <c r="BL40" s="238">
        <f t="shared" si="44"/>
        <v>1.8904109589041096</v>
      </c>
      <c r="BM40" s="373">
        <v>29.1</v>
      </c>
      <c r="BN40" s="373">
        <v>20.13</v>
      </c>
      <c r="BO40" s="374">
        <f t="shared" si="24"/>
        <v>0.6917525773195876</v>
      </c>
      <c r="BP40" s="373">
        <v>15.96</v>
      </c>
      <c r="BQ40" s="242">
        <f t="shared" si="13"/>
        <v>0.5484536082474227</v>
      </c>
      <c r="BS40" s="234"/>
    </row>
    <row r="41" spans="1:71" ht="15">
      <c r="A41" s="90">
        <v>1262</v>
      </c>
      <c r="B41" s="244" t="s">
        <v>160</v>
      </c>
      <c r="C41" s="236">
        <v>3</v>
      </c>
      <c r="D41" s="237">
        <v>11.14</v>
      </c>
      <c r="E41" s="238">
        <v>12.85</v>
      </c>
      <c r="F41" s="238">
        <v>11.97</v>
      </c>
      <c r="G41" s="238">
        <v>12.57</v>
      </c>
      <c r="H41" s="238">
        <v>12.39</v>
      </c>
      <c r="I41" s="238">
        <v>11.2</v>
      </c>
      <c r="J41" s="238">
        <v>11.36</v>
      </c>
      <c r="K41" s="238">
        <v>12.03</v>
      </c>
      <c r="L41" s="238">
        <v>12.71</v>
      </c>
      <c r="M41" s="239">
        <v>12.41</v>
      </c>
      <c r="N41" s="237">
        <v>3.22</v>
      </c>
      <c r="O41" s="238">
        <v>3.48</v>
      </c>
      <c r="P41" s="238">
        <v>3.37</v>
      </c>
      <c r="Q41" s="238">
        <v>3.39</v>
      </c>
      <c r="R41" s="238">
        <v>3.67</v>
      </c>
      <c r="S41" s="238">
        <v>3.22</v>
      </c>
      <c r="T41" s="238">
        <v>3.37</v>
      </c>
      <c r="U41" s="238">
        <v>3.24</v>
      </c>
      <c r="V41" s="238">
        <v>3.52</v>
      </c>
      <c r="W41" s="240">
        <v>3.37</v>
      </c>
      <c r="X41" s="237">
        <f t="shared" si="25"/>
        <v>3.4596273291925463</v>
      </c>
      <c r="Y41" s="238">
        <f t="shared" si="26"/>
        <v>3.692528735632184</v>
      </c>
      <c r="Z41" s="238">
        <f t="shared" si="27"/>
        <v>3.5519287833827895</v>
      </c>
      <c r="AA41" s="238">
        <f t="shared" si="28"/>
        <v>3.7079646017699113</v>
      </c>
      <c r="AB41" s="238">
        <f t="shared" si="29"/>
        <v>3.3760217983651226</v>
      </c>
      <c r="AC41" s="238">
        <f t="shared" si="30"/>
        <v>3.478260869565217</v>
      </c>
      <c r="AD41" s="238">
        <f t="shared" si="31"/>
        <v>3.3709198813056376</v>
      </c>
      <c r="AE41" s="238">
        <f t="shared" si="32"/>
        <v>3.7129629629629624</v>
      </c>
      <c r="AF41" s="238">
        <f t="shared" si="33"/>
        <v>3.6107954545454546</v>
      </c>
      <c r="AG41" s="239">
        <f t="shared" si="34"/>
        <v>3.6824925816023737</v>
      </c>
      <c r="AH41" s="244" t="s">
        <v>160</v>
      </c>
      <c r="AI41" s="237">
        <v>8.6</v>
      </c>
      <c r="AJ41" s="241">
        <v>7.81</v>
      </c>
      <c r="AK41" s="241">
        <v>8.8</v>
      </c>
      <c r="AL41" s="241">
        <v>8.4</v>
      </c>
      <c r="AM41" s="241">
        <v>7.62</v>
      </c>
      <c r="AN41" s="241">
        <v>8.53</v>
      </c>
      <c r="AO41" s="241">
        <v>8.38</v>
      </c>
      <c r="AP41" s="241">
        <v>8.4</v>
      </c>
      <c r="AQ41" s="238">
        <v>8.69</v>
      </c>
      <c r="AR41" s="239">
        <v>8.65</v>
      </c>
      <c r="AS41" s="237">
        <v>2.67</v>
      </c>
      <c r="AT41" s="241">
        <v>2.57</v>
      </c>
      <c r="AU41" s="241">
        <v>2.68</v>
      </c>
      <c r="AV41" s="241">
        <v>2.65</v>
      </c>
      <c r="AW41" s="241">
        <v>2.5</v>
      </c>
      <c r="AX41" s="241">
        <v>2.37</v>
      </c>
      <c r="AY41" s="241">
        <v>2.71</v>
      </c>
      <c r="AZ41" s="241">
        <v>2.68</v>
      </c>
      <c r="BA41" s="238">
        <v>2.76</v>
      </c>
      <c r="BB41" s="239">
        <v>2.68</v>
      </c>
      <c r="BC41" s="237">
        <f t="shared" si="35"/>
        <v>3.2209737827715355</v>
      </c>
      <c r="BD41" s="238">
        <f t="shared" si="36"/>
        <v>3.0389105058365757</v>
      </c>
      <c r="BE41" s="238">
        <f t="shared" si="37"/>
        <v>3.283582089552239</v>
      </c>
      <c r="BF41" s="238">
        <f t="shared" si="38"/>
        <v>3.169811320754717</v>
      </c>
      <c r="BG41" s="238">
        <f t="shared" si="39"/>
        <v>3.048</v>
      </c>
      <c r="BH41" s="238">
        <f t="shared" si="40"/>
        <v>3.5991561181434597</v>
      </c>
      <c r="BI41" s="238">
        <f t="shared" si="41"/>
        <v>3.0922509225092254</v>
      </c>
      <c r="BJ41" s="238">
        <f t="shared" si="42"/>
        <v>3.1343283582089554</v>
      </c>
      <c r="BK41" s="238">
        <f t="shared" si="43"/>
        <v>3.148550724637681</v>
      </c>
      <c r="BL41" s="238">
        <f t="shared" si="44"/>
        <v>3.2276119402985075</v>
      </c>
      <c r="BM41" s="373">
        <v>37.99</v>
      </c>
      <c r="BN41" s="373">
        <v>25.55</v>
      </c>
      <c r="BO41" s="374">
        <f t="shared" si="24"/>
        <v>0.67254540668597</v>
      </c>
      <c r="BP41" s="373">
        <v>23.2</v>
      </c>
      <c r="BQ41" s="242">
        <f t="shared" si="13"/>
        <v>0.6106870229007633</v>
      </c>
      <c r="BS41" s="234"/>
    </row>
    <row r="42" spans="1:71" ht="15">
      <c r="A42" s="90">
        <v>1306</v>
      </c>
      <c r="B42" s="244" t="s">
        <v>161</v>
      </c>
      <c r="C42" s="236"/>
      <c r="D42" s="237"/>
      <c r="E42" s="238"/>
      <c r="F42" s="238"/>
      <c r="G42" s="238"/>
      <c r="H42" s="238"/>
      <c r="I42" s="238"/>
      <c r="J42" s="238"/>
      <c r="K42" s="238"/>
      <c r="L42" s="238"/>
      <c r="M42" s="239"/>
      <c r="N42" s="237"/>
      <c r="O42" s="238"/>
      <c r="P42" s="238"/>
      <c r="Q42" s="238"/>
      <c r="R42" s="238"/>
      <c r="S42" s="238"/>
      <c r="T42" s="238"/>
      <c r="U42" s="238"/>
      <c r="V42" s="238"/>
      <c r="W42" s="240"/>
      <c r="X42" s="237"/>
      <c r="Y42" s="238"/>
      <c r="Z42" s="238"/>
      <c r="AA42" s="238"/>
      <c r="AB42" s="238"/>
      <c r="AC42" s="238"/>
      <c r="AD42" s="238"/>
      <c r="AE42" s="238"/>
      <c r="AF42" s="238"/>
      <c r="AG42" s="239"/>
      <c r="AH42" s="244" t="s">
        <v>161</v>
      </c>
      <c r="AI42" s="237"/>
      <c r="AJ42" s="241"/>
      <c r="AK42" s="241"/>
      <c r="AL42" s="241"/>
      <c r="AM42" s="241"/>
      <c r="AN42" s="241"/>
      <c r="AO42" s="241"/>
      <c r="AP42" s="241"/>
      <c r="AQ42" s="238"/>
      <c r="AR42" s="239"/>
      <c r="AS42" s="237"/>
      <c r="AT42" s="241"/>
      <c r="AU42" s="241"/>
      <c r="AV42" s="241"/>
      <c r="AW42" s="241"/>
      <c r="AX42" s="241"/>
      <c r="AY42" s="241"/>
      <c r="AZ42" s="241"/>
      <c r="BA42" s="238"/>
      <c r="BB42" s="239"/>
      <c r="BC42" s="237"/>
      <c r="BD42" s="238"/>
      <c r="BE42" s="238"/>
      <c r="BF42" s="238"/>
      <c r="BG42" s="238"/>
      <c r="BH42" s="238"/>
      <c r="BI42" s="238"/>
      <c r="BJ42" s="238"/>
      <c r="BK42" s="238"/>
      <c r="BL42" s="238"/>
      <c r="BM42" s="373"/>
      <c r="BN42" s="373"/>
      <c r="BO42" s="374"/>
      <c r="BP42" s="373"/>
      <c r="BQ42" s="242"/>
      <c r="BS42" s="234"/>
    </row>
    <row r="43" spans="1:71" ht="15">
      <c r="A43" s="90">
        <v>74</v>
      </c>
      <c r="B43" s="244" t="s">
        <v>162</v>
      </c>
      <c r="C43" s="236">
        <v>3</v>
      </c>
      <c r="D43" s="237">
        <v>8.43</v>
      </c>
      <c r="E43" s="238">
        <v>8.13</v>
      </c>
      <c r="F43" s="238">
        <v>8.33</v>
      </c>
      <c r="G43" s="238">
        <v>8.13</v>
      </c>
      <c r="H43" s="238">
        <v>8.07</v>
      </c>
      <c r="I43" s="238">
        <v>8.14</v>
      </c>
      <c r="J43" s="238">
        <v>8.42</v>
      </c>
      <c r="K43" s="238">
        <v>8.44</v>
      </c>
      <c r="L43" s="238">
        <v>8.58</v>
      </c>
      <c r="M43" s="239">
        <v>8.04</v>
      </c>
      <c r="N43" s="237">
        <v>3.54</v>
      </c>
      <c r="O43" s="238">
        <v>3.38</v>
      </c>
      <c r="P43" s="238">
        <v>3.38</v>
      </c>
      <c r="Q43" s="238">
        <v>3.47</v>
      </c>
      <c r="R43" s="238">
        <v>3.26</v>
      </c>
      <c r="S43" s="238">
        <v>3.4</v>
      </c>
      <c r="T43" s="238">
        <v>3.55</v>
      </c>
      <c r="U43" s="238">
        <v>3.29</v>
      </c>
      <c r="V43" s="238">
        <v>3.55</v>
      </c>
      <c r="W43" s="240">
        <v>3.45</v>
      </c>
      <c r="X43" s="237">
        <f aca="true" t="shared" si="45" ref="X43:X51">D43/N43</f>
        <v>2.3813559322033897</v>
      </c>
      <c r="Y43" s="238">
        <f aca="true" t="shared" si="46" ref="Y43:Y51">E43/O43</f>
        <v>2.4053254437869827</v>
      </c>
      <c r="Z43" s="238">
        <f aca="true" t="shared" si="47" ref="Z43:Z51">F43/P43</f>
        <v>2.4644970414201186</v>
      </c>
      <c r="AA43" s="238">
        <f aca="true" t="shared" si="48" ref="AA43:AA51">G43/Q43</f>
        <v>2.3429394812680115</v>
      </c>
      <c r="AB43" s="238">
        <f aca="true" t="shared" si="49" ref="AB43:AB51">H43/R43</f>
        <v>2.4754601226993866</v>
      </c>
      <c r="AC43" s="238">
        <f aca="true" t="shared" si="50" ref="AC43:AC51">I43/S43</f>
        <v>2.394117647058824</v>
      </c>
      <c r="AD43" s="238">
        <f aca="true" t="shared" si="51" ref="AD43:AD51">J43/T43</f>
        <v>2.371830985915493</v>
      </c>
      <c r="AE43" s="238">
        <f aca="true" t="shared" si="52" ref="AE43:AE51">K43/U43</f>
        <v>2.5653495440729484</v>
      </c>
      <c r="AF43" s="238">
        <f aca="true" t="shared" si="53" ref="AF43:AF51">L43/V43</f>
        <v>2.4169014084507046</v>
      </c>
      <c r="AG43" s="239">
        <f aca="true" t="shared" si="54" ref="AG43:AG51">M43/W43</f>
        <v>2.330434782608695</v>
      </c>
      <c r="AH43" s="244" t="s">
        <v>162</v>
      </c>
      <c r="AI43" s="237">
        <v>6.22</v>
      </c>
      <c r="AJ43" s="241">
        <v>5.57</v>
      </c>
      <c r="AK43" s="241">
        <v>6.04</v>
      </c>
      <c r="AL43" s="241">
        <v>6.33</v>
      </c>
      <c r="AM43" s="241">
        <v>6.22</v>
      </c>
      <c r="AN43" s="241">
        <v>6.34</v>
      </c>
      <c r="AO43" s="241">
        <v>6.21</v>
      </c>
      <c r="AP43" s="241">
        <v>6.32</v>
      </c>
      <c r="AQ43" s="238">
        <v>6.23</v>
      </c>
      <c r="AR43" s="239">
        <v>6.08</v>
      </c>
      <c r="AS43" s="237">
        <v>3.04</v>
      </c>
      <c r="AT43" s="241">
        <v>2.87</v>
      </c>
      <c r="AU43" s="241">
        <v>2.96</v>
      </c>
      <c r="AV43" s="241">
        <v>3.02</v>
      </c>
      <c r="AW43" s="241">
        <v>2.88</v>
      </c>
      <c r="AX43" s="241">
        <v>2.46</v>
      </c>
      <c r="AY43" s="241">
        <v>2.84</v>
      </c>
      <c r="AZ43" s="241">
        <v>3.28</v>
      </c>
      <c r="BA43" s="238">
        <v>2.96</v>
      </c>
      <c r="BB43" s="239">
        <v>2.94</v>
      </c>
      <c r="BC43" s="237">
        <f t="shared" si="35"/>
        <v>2.0460526315789473</v>
      </c>
      <c r="BD43" s="238">
        <f t="shared" si="36"/>
        <v>1.9407665505226481</v>
      </c>
      <c r="BE43" s="238">
        <f t="shared" si="37"/>
        <v>2.040540540540541</v>
      </c>
      <c r="BF43" s="238">
        <f t="shared" si="38"/>
        <v>2.096026490066225</v>
      </c>
      <c r="BG43" s="238">
        <f t="shared" si="39"/>
        <v>2.1597222222222223</v>
      </c>
      <c r="BH43" s="238">
        <f t="shared" si="40"/>
        <v>2.5772357723577235</v>
      </c>
      <c r="BI43" s="238">
        <f t="shared" si="41"/>
        <v>2.1866197183098595</v>
      </c>
      <c r="BJ43" s="238">
        <f t="shared" si="42"/>
        <v>1.926829268292683</v>
      </c>
      <c r="BK43" s="238">
        <f t="shared" si="43"/>
        <v>2.10472972972973</v>
      </c>
      <c r="BL43" s="238">
        <f t="shared" si="44"/>
        <v>2.068027210884354</v>
      </c>
      <c r="BM43" s="373">
        <v>30.56</v>
      </c>
      <c r="BN43" s="373">
        <v>20.97</v>
      </c>
      <c r="BO43" s="374">
        <f t="shared" si="24"/>
        <v>0.6861910994764397</v>
      </c>
      <c r="BP43" s="373">
        <v>13.34</v>
      </c>
      <c r="BQ43" s="242">
        <f t="shared" si="13"/>
        <v>0.43651832460732987</v>
      </c>
      <c r="BS43" s="234"/>
    </row>
    <row r="44" spans="1:71" ht="15">
      <c r="A44" s="90">
        <v>1395</v>
      </c>
      <c r="B44" s="244" t="s">
        <v>163</v>
      </c>
      <c r="C44" s="236">
        <v>1</v>
      </c>
      <c r="D44" s="237">
        <v>9.07</v>
      </c>
      <c r="E44" s="238">
        <v>8.86</v>
      </c>
      <c r="F44" s="238">
        <v>8.56</v>
      </c>
      <c r="G44" s="238">
        <v>8.58</v>
      </c>
      <c r="H44" s="238">
        <v>8.98</v>
      </c>
      <c r="I44" s="238">
        <v>8.86</v>
      </c>
      <c r="J44" s="238">
        <v>8.78</v>
      </c>
      <c r="K44" s="238">
        <v>9.76</v>
      </c>
      <c r="L44" s="238">
        <v>9.21</v>
      </c>
      <c r="M44" s="239">
        <v>9.17</v>
      </c>
      <c r="N44" s="237">
        <v>3.46</v>
      </c>
      <c r="O44" s="238">
        <v>3.52</v>
      </c>
      <c r="P44" s="238">
        <v>3.35</v>
      </c>
      <c r="Q44" s="238">
        <v>3.81</v>
      </c>
      <c r="R44" s="238">
        <v>3.65</v>
      </c>
      <c r="S44" s="238">
        <v>3.5</v>
      </c>
      <c r="T44" s="238">
        <v>3.69</v>
      </c>
      <c r="U44" s="238">
        <v>3.79</v>
      </c>
      <c r="V44" s="238">
        <v>3.64</v>
      </c>
      <c r="W44" s="240">
        <v>3.84</v>
      </c>
      <c r="X44" s="237">
        <f t="shared" si="45"/>
        <v>2.621387283236994</v>
      </c>
      <c r="Y44" s="238">
        <f t="shared" si="46"/>
        <v>2.5170454545454546</v>
      </c>
      <c r="Z44" s="238">
        <f t="shared" si="47"/>
        <v>2.555223880597015</v>
      </c>
      <c r="AA44" s="238">
        <f t="shared" si="48"/>
        <v>2.251968503937008</v>
      </c>
      <c r="AB44" s="238">
        <f t="shared" si="49"/>
        <v>2.46027397260274</v>
      </c>
      <c r="AC44" s="238">
        <f t="shared" si="50"/>
        <v>2.531428571428571</v>
      </c>
      <c r="AD44" s="238">
        <f t="shared" si="51"/>
        <v>2.3794037940379402</v>
      </c>
      <c r="AE44" s="238">
        <f t="shared" si="52"/>
        <v>2.575197889182058</v>
      </c>
      <c r="AF44" s="238">
        <f t="shared" si="53"/>
        <v>2.5302197802197806</v>
      </c>
      <c r="AG44" s="239">
        <f t="shared" si="54"/>
        <v>2.3880208333333335</v>
      </c>
      <c r="AH44" s="244" t="s">
        <v>163</v>
      </c>
      <c r="AI44" s="237">
        <v>6.49</v>
      </c>
      <c r="AJ44" s="241">
        <v>6.65</v>
      </c>
      <c r="AK44" s="241">
        <v>6.76</v>
      </c>
      <c r="AL44" s="241">
        <v>6.6</v>
      </c>
      <c r="AM44" s="241">
        <v>6.48</v>
      </c>
      <c r="AN44" s="241">
        <v>6.44</v>
      </c>
      <c r="AO44" s="241">
        <v>6.73</v>
      </c>
      <c r="AP44" s="241">
        <v>6.8</v>
      </c>
      <c r="AQ44" s="238">
        <v>6.58</v>
      </c>
      <c r="AR44" s="239">
        <v>6.51</v>
      </c>
      <c r="AS44" s="237">
        <v>2.96</v>
      </c>
      <c r="AT44" s="241">
        <v>2.96</v>
      </c>
      <c r="AU44" s="241">
        <v>3.21</v>
      </c>
      <c r="AV44" s="241">
        <v>3.17</v>
      </c>
      <c r="AW44" s="241">
        <v>3.15</v>
      </c>
      <c r="AX44" s="241">
        <v>3.34</v>
      </c>
      <c r="AY44" s="241">
        <v>3.17</v>
      </c>
      <c r="AZ44" s="241">
        <v>3.02</v>
      </c>
      <c r="BA44" s="238">
        <v>3.34</v>
      </c>
      <c r="BB44" s="239">
        <v>3.13</v>
      </c>
      <c r="BC44" s="237">
        <f t="shared" si="35"/>
        <v>2.1925675675675675</v>
      </c>
      <c r="BD44" s="238">
        <f t="shared" si="36"/>
        <v>2.246621621621622</v>
      </c>
      <c r="BE44" s="238">
        <f t="shared" si="37"/>
        <v>2.1059190031152646</v>
      </c>
      <c r="BF44" s="238">
        <f t="shared" si="38"/>
        <v>2.082018927444795</v>
      </c>
      <c r="BG44" s="238">
        <f t="shared" si="39"/>
        <v>2.0571428571428574</v>
      </c>
      <c r="BH44" s="238">
        <f t="shared" si="40"/>
        <v>1.9281437125748504</v>
      </c>
      <c r="BI44" s="238">
        <f t="shared" si="41"/>
        <v>2.1230283911671926</v>
      </c>
      <c r="BJ44" s="238">
        <f t="shared" si="42"/>
        <v>2.251655629139073</v>
      </c>
      <c r="BK44" s="238">
        <f t="shared" si="43"/>
        <v>1.970059880239521</v>
      </c>
      <c r="BL44" s="238">
        <f t="shared" si="44"/>
        <v>2.0798722044728435</v>
      </c>
      <c r="BM44" s="373">
        <v>36.25</v>
      </c>
      <c r="BN44" s="373">
        <v>24.01</v>
      </c>
      <c r="BO44" s="374">
        <f t="shared" si="24"/>
        <v>0.6623448275862069</v>
      </c>
      <c r="BP44" s="373">
        <v>20.93</v>
      </c>
      <c r="BQ44" s="242">
        <f t="shared" si="13"/>
        <v>0.5773793103448276</v>
      </c>
      <c r="BS44" s="234"/>
    </row>
    <row r="45" spans="1:71" ht="15">
      <c r="A45" s="90">
        <v>1473</v>
      </c>
      <c r="B45" s="244" t="s">
        <v>164</v>
      </c>
      <c r="C45" s="236">
        <v>3</v>
      </c>
      <c r="D45" s="237">
        <v>9.11</v>
      </c>
      <c r="E45" s="238">
        <v>9.35</v>
      </c>
      <c r="F45" s="238">
        <v>8.37</v>
      </c>
      <c r="G45" s="238">
        <v>9.07</v>
      </c>
      <c r="H45" s="238">
        <v>9.84</v>
      </c>
      <c r="I45" s="238">
        <v>9.11</v>
      </c>
      <c r="J45" s="238">
        <v>8.96</v>
      </c>
      <c r="K45" s="238">
        <v>9.34</v>
      </c>
      <c r="L45" s="238">
        <v>8.85</v>
      </c>
      <c r="M45" s="239">
        <v>8.14</v>
      </c>
      <c r="N45" s="237">
        <v>3.26</v>
      </c>
      <c r="O45" s="238">
        <v>3.1</v>
      </c>
      <c r="P45" s="238">
        <v>3.09</v>
      </c>
      <c r="Q45" s="238">
        <v>3.13</v>
      </c>
      <c r="R45" s="238">
        <v>3.22</v>
      </c>
      <c r="S45" s="238">
        <v>3.11</v>
      </c>
      <c r="T45" s="238">
        <v>3.17</v>
      </c>
      <c r="U45" s="238">
        <v>2.9</v>
      </c>
      <c r="V45" s="238">
        <v>3.13</v>
      </c>
      <c r="W45" s="240">
        <v>3.2</v>
      </c>
      <c r="X45" s="237">
        <f t="shared" si="45"/>
        <v>2.794478527607362</v>
      </c>
      <c r="Y45" s="238">
        <f t="shared" si="46"/>
        <v>3.0161290322580645</v>
      </c>
      <c r="Z45" s="238">
        <f t="shared" si="47"/>
        <v>2.7087378640776696</v>
      </c>
      <c r="AA45" s="238">
        <f t="shared" si="48"/>
        <v>2.8977635782747604</v>
      </c>
      <c r="AB45" s="238">
        <f t="shared" si="49"/>
        <v>3.055900621118012</v>
      </c>
      <c r="AC45" s="238">
        <f t="shared" si="50"/>
        <v>2.9292604501607715</v>
      </c>
      <c r="AD45" s="238">
        <f t="shared" si="51"/>
        <v>2.826498422712934</v>
      </c>
      <c r="AE45" s="238">
        <f t="shared" si="52"/>
        <v>3.220689655172414</v>
      </c>
      <c r="AF45" s="238">
        <f t="shared" si="53"/>
        <v>2.8274760383386583</v>
      </c>
      <c r="AG45" s="239">
        <f t="shared" si="54"/>
        <v>2.54375</v>
      </c>
      <c r="AH45" s="244" t="s">
        <v>164</v>
      </c>
      <c r="AI45" s="237">
        <v>6.77</v>
      </c>
      <c r="AJ45" s="241">
        <v>6.11</v>
      </c>
      <c r="AK45" s="241">
        <v>7.04</v>
      </c>
      <c r="AL45" s="241">
        <v>6.83</v>
      </c>
      <c r="AM45" s="241">
        <v>6.52</v>
      </c>
      <c r="AN45" s="241">
        <v>6.5</v>
      </c>
      <c r="AO45" s="241">
        <v>6.67</v>
      </c>
      <c r="AP45" s="241">
        <v>6.56</v>
      </c>
      <c r="AQ45" s="238">
        <v>7.13</v>
      </c>
      <c r="AR45" s="239">
        <v>6.7</v>
      </c>
      <c r="AS45" s="237">
        <v>2.86</v>
      </c>
      <c r="AT45" s="241">
        <v>2.52</v>
      </c>
      <c r="AU45" s="241">
        <v>2.88</v>
      </c>
      <c r="AV45" s="241">
        <v>3.02</v>
      </c>
      <c r="AW45" s="241">
        <v>2.72</v>
      </c>
      <c r="AX45" s="241">
        <v>2.76</v>
      </c>
      <c r="AY45" s="241">
        <v>2.81</v>
      </c>
      <c r="AZ45" s="241">
        <v>2.6</v>
      </c>
      <c r="BA45" s="238">
        <v>2.9</v>
      </c>
      <c r="BB45" s="239">
        <v>2.81</v>
      </c>
      <c r="BC45" s="237">
        <f t="shared" si="35"/>
        <v>2.367132867132867</v>
      </c>
      <c r="BD45" s="238">
        <f t="shared" si="36"/>
        <v>2.424603174603175</v>
      </c>
      <c r="BE45" s="238">
        <f t="shared" si="37"/>
        <v>2.4444444444444446</v>
      </c>
      <c r="BF45" s="238">
        <f t="shared" si="38"/>
        <v>2.26158940397351</v>
      </c>
      <c r="BG45" s="238">
        <f t="shared" si="39"/>
        <v>2.3970588235294112</v>
      </c>
      <c r="BH45" s="238">
        <f t="shared" si="40"/>
        <v>2.355072463768116</v>
      </c>
      <c r="BI45" s="238">
        <f t="shared" si="41"/>
        <v>2.373665480427046</v>
      </c>
      <c r="BJ45" s="238">
        <f t="shared" si="42"/>
        <v>2.523076923076923</v>
      </c>
      <c r="BK45" s="238">
        <f t="shared" si="43"/>
        <v>2.4586206896551723</v>
      </c>
      <c r="BL45" s="238">
        <f t="shared" si="44"/>
        <v>2.3843416370106763</v>
      </c>
      <c r="BM45" s="373">
        <v>32.15</v>
      </c>
      <c r="BN45" s="373">
        <v>23.21</v>
      </c>
      <c r="BO45" s="374">
        <f t="shared" si="24"/>
        <v>0.7219284603421462</v>
      </c>
      <c r="BP45" s="373">
        <v>15.559999999999999</v>
      </c>
      <c r="BQ45" s="242">
        <f t="shared" si="13"/>
        <v>0.4839813374805599</v>
      </c>
      <c r="BS45" s="234"/>
    </row>
    <row r="46" spans="1:71" ht="15">
      <c r="A46" s="90">
        <v>1488</v>
      </c>
      <c r="B46" s="244" t="s">
        <v>165</v>
      </c>
      <c r="C46" s="236">
        <v>3</v>
      </c>
      <c r="D46" s="237">
        <v>10.32</v>
      </c>
      <c r="E46" s="238">
        <v>10.02</v>
      </c>
      <c r="F46" s="238">
        <v>10.01</v>
      </c>
      <c r="G46" s="238">
        <v>10.7</v>
      </c>
      <c r="H46" s="238">
        <v>10.92</v>
      </c>
      <c r="I46" s="238">
        <v>10.13</v>
      </c>
      <c r="J46" s="238">
        <v>9.69</v>
      </c>
      <c r="K46" s="238">
        <v>10.66</v>
      </c>
      <c r="L46" s="238">
        <v>9.82</v>
      </c>
      <c r="M46" s="239">
        <v>10.01</v>
      </c>
      <c r="N46" s="237">
        <v>2.78</v>
      </c>
      <c r="O46" s="238">
        <v>2.71</v>
      </c>
      <c r="P46" s="238">
        <v>2.7</v>
      </c>
      <c r="Q46" s="238">
        <v>2.66</v>
      </c>
      <c r="R46" s="238">
        <v>2.84</v>
      </c>
      <c r="S46" s="238">
        <v>2.82</v>
      </c>
      <c r="T46" s="238">
        <v>2.66</v>
      </c>
      <c r="U46" s="238">
        <v>2.96</v>
      </c>
      <c r="V46" s="238">
        <v>2.6</v>
      </c>
      <c r="W46" s="240">
        <v>2.69</v>
      </c>
      <c r="X46" s="237">
        <f t="shared" si="45"/>
        <v>3.7122302158273386</v>
      </c>
      <c r="Y46" s="238">
        <f t="shared" si="46"/>
        <v>3.697416974169742</v>
      </c>
      <c r="Z46" s="238">
        <f t="shared" si="47"/>
        <v>3.7074074074074073</v>
      </c>
      <c r="AA46" s="238">
        <f t="shared" si="48"/>
        <v>4.022556390977443</v>
      </c>
      <c r="AB46" s="238">
        <f t="shared" si="49"/>
        <v>3.8450704225352115</v>
      </c>
      <c r="AC46" s="238">
        <f t="shared" si="50"/>
        <v>3.592198581560284</v>
      </c>
      <c r="AD46" s="238">
        <f t="shared" si="51"/>
        <v>3.6428571428571423</v>
      </c>
      <c r="AE46" s="238">
        <f t="shared" si="52"/>
        <v>3.6013513513513513</v>
      </c>
      <c r="AF46" s="238">
        <f t="shared" si="53"/>
        <v>3.776923076923077</v>
      </c>
      <c r="AG46" s="239">
        <f t="shared" si="54"/>
        <v>3.721189591078067</v>
      </c>
      <c r="AH46" s="244" t="s">
        <v>165</v>
      </c>
      <c r="AI46" s="237">
        <v>7.92</v>
      </c>
      <c r="AJ46" s="241">
        <v>7.49</v>
      </c>
      <c r="AK46" s="241">
        <v>7.23</v>
      </c>
      <c r="AL46" s="241">
        <v>7.69</v>
      </c>
      <c r="AM46" s="241">
        <v>7.61</v>
      </c>
      <c r="AN46" s="241">
        <v>7.21</v>
      </c>
      <c r="AO46" s="241">
        <v>7.9</v>
      </c>
      <c r="AP46" s="241">
        <v>7.51</v>
      </c>
      <c r="AQ46" s="238">
        <v>7.74</v>
      </c>
      <c r="AR46" s="239">
        <v>7.62</v>
      </c>
      <c r="AS46" s="237">
        <v>2.51</v>
      </c>
      <c r="AT46" s="241">
        <v>2.42</v>
      </c>
      <c r="AU46" s="241">
        <v>2.26</v>
      </c>
      <c r="AV46" s="241">
        <v>2.45</v>
      </c>
      <c r="AW46" s="241">
        <v>2.4</v>
      </c>
      <c r="AX46" s="241">
        <v>2.41</v>
      </c>
      <c r="AY46" s="241">
        <v>2.34</v>
      </c>
      <c r="AZ46" s="241">
        <v>2.32</v>
      </c>
      <c r="BA46" s="238">
        <v>2.36</v>
      </c>
      <c r="BB46" s="239">
        <v>2.34</v>
      </c>
      <c r="BC46" s="237">
        <f t="shared" si="35"/>
        <v>3.155378486055777</v>
      </c>
      <c r="BD46" s="238">
        <f t="shared" si="36"/>
        <v>3.09504132231405</v>
      </c>
      <c r="BE46" s="238">
        <f t="shared" si="37"/>
        <v>3.199115044247788</v>
      </c>
      <c r="BF46" s="238">
        <f t="shared" si="38"/>
        <v>3.1387755102040815</v>
      </c>
      <c r="BG46" s="238">
        <f t="shared" si="39"/>
        <v>3.1708333333333334</v>
      </c>
      <c r="BH46" s="238">
        <f t="shared" si="40"/>
        <v>2.991701244813278</v>
      </c>
      <c r="BI46" s="238">
        <f t="shared" si="41"/>
        <v>3.3760683760683765</v>
      </c>
      <c r="BJ46" s="238">
        <f t="shared" si="42"/>
        <v>3.2370689655172415</v>
      </c>
      <c r="BK46" s="238">
        <f t="shared" si="43"/>
        <v>3.2796610169491527</v>
      </c>
      <c r="BL46" s="238">
        <f t="shared" si="44"/>
        <v>3.256410256410257</v>
      </c>
      <c r="BM46" s="373">
        <v>27.79</v>
      </c>
      <c r="BN46" s="373">
        <v>19.41</v>
      </c>
      <c r="BO46" s="374">
        <f t="shared" si="24"/>
        <v>0.698452680820439</v>
      </c>
      <c r="BP46" s="373">
        <v>18.21</v>
      </c>
      <c r="BQ46" s="242">
        <f t="shared" si="13"/>
        <v>0.6552716804605974</v>
      </c>
      <c r="BS46" s="234"/>
    </row>
    <row r="47" spans="1:71" ht="15">
      <c r="A47" s="90">
        <v>1489</v>
      </c>
      <c r="B47" s="244" t="s">
        <v>166</v>
      </c>
      <c r="C47" s="236">
        <v>1</v>
      </c>
      <c r="D47" s="237">
        <v>8.88</v>
      </c>
      <c r="E47" s="238">
        <v>9.51</v>
      </c>
      <c r="F47" s="238">
        <v>9.51</v>
      </c>
      <c r="G47" s="238">
        <v>9.04</v>
      </c>
      <c r="H47" s="238">
        <v>9.48</v>
      </c>
      <c r="I47" s="238">
        <v>9.51</v>
      </c>
      <c r="J47" s="238">
        <v>8.57</v>
      </c>
      <c r="K47" s="238">
        <v>9.21</v>
      </c>
      <c r="L47" s="238">
        <v>9.02</v>
      </c>
      <c r="M47" s="239">
        <v>9.43</v>
      </c>
      <c r="N47" s="237">
        <v>3.25</v>
      </c>
      <c r="O47" s="238">
        <v>3.14</v>
      </c>
      <c r="P47" s="238">
        <v>3.29</v>
      </c>
      <c r="Q47" s="238">
        <v>3.26</v>
      </c>
      <c r="R47" s="238">
        <v>3.38</v>
      </c>
      <c r="S47" s="238">
        <v>3.23</v>
      </c>
      <c r="T47" s="238">
        <v>3.12</v>
      </c>
      <c r="U47" s="238">
        <v>3.38</v>
      </c>
      <c r="V47" s="238">
        <v>3.07</v>
      </c>
      <c r="W47" s="240">
        <v>3.57</v>
      </c>
      <c r="X47" s="237">
        <f t="shared" si="45"/>
        <v>2.7323076923076925</v>
      </c>
      <c r="Y47" s="238">
        <f t="shared" si="46"/>
        <v>3.0286624203821653</v>
      </c>
      <c r="Z47" s="238">
        <f t="shared" si="47"/>
        <v>2.8905775075987843</v>
      </c>
      <c r="AA47" s="238">
        <f t="shared" si="48"/>
        <v>2.773006134969325</v>
      </c>
      <c r="AB47" s="238">
        <f t="shared" si="49"/>
        <v>2.804733727810651</v>
      </c>
      <c r="AC47" s="238">
        <f t="shared" si="50"/>
        <v>2.9442724458204332</v>
      </c>
      <c r="AD47" s="238">
        <f t="shared" si="51"/>
        <v>2.746794871794872</v>
      </c>
      <c r="AE47" s="238">
        <f t="shared" si="52"/>
        <v>2.7248520710059174</v>
      </c>
      <c r="AF47" s="238">
        <f t="shared" si="53"/>
        <v>2.9381107491856677</v>
      </c>
      <c r="AG47" s="239">
        <f t="shared" si="54"/>
        <v>2.641456582633053</v>
      </c>
      <c r="AH47" s="244" t="s">
        <v>166</v>
      </c>
      <c r="AI47" s="237">
        <v>6.77</v>
      </c>
      <c r="AJ47" s="241">
        <v>7</v>
      </c>
      <c r="AK47" s="241">
        <v>7.15</v>
      </c>
      <c r="AL47" s="241">
        <v>6.78</v>
      </c>
      <c r="AM47" s="241">
        <v>6.77</v>
      </c>
      <c r="AN47" s="241">
        <v>6.45</v>
      </c>
      <c r="AO47" s="241">
        <v>6.65</v>
      </c>
      <c r="AP47" s="241">
        <v>6.26</v>
      </c>
      <c r="AQ47" s="238">
        <v>6.79</v>
      </c>
      <c r="AR47" s="239">
        <v>6.32</v>
      </c>
      <c r="AS47" s="237">
        <v>2.73</v>
      </c>
      <c r="AT47" s="241">
        <v>2.88</v>
      </c>
      <c r="AU47" s="241">
        <v>2.86</v>
      </c>
      <c r="AV47" s="241">
        <v>2.66</v>
      </c>
      <c r="AW47" s="241">
        <v>2.87</v>
      </c>
      <c r="AX47" s="241">
        <v>2.68</v>
      </c>
      <c r="AY47" s="241">
        <v>2.83</v>
      </c>
      <c r="AZ47" s="241">
        <v>2.62</v>
      </c>
      <c r="BA47" s="238">
        <v>2.78</v>
      </c>
      <c r="BB47" s="239">
        <v>2.92</v>
      </c>
      <c r="BC47" s="237">
        <f t="shared" si="35"/>
        <v>2.47985347985348</v>
      </c>
      <c r="BD47" s="238">
        <f t="shared" si="36"/>
        <v>2.430555555555556</v>
      </c>
      <c r="BE47" s="238">
        <f t="shared" si="37"/>
        <v>2.5000000000000004</v>
      </c>
      <c r="BF47" s="238">
        <f t="shared" si="38"/>
        <v>2.5488721804511276</v>
      </c>
      <c r="BG47" s="238">
        <f t="shared" si="39"/>
        <v>2.3588850174216027</v>
      </c>
      <c r="BH47" s="238">
        <f t="shared" si="40"/>
        <v>2.406716417910448</v>
      </c>
      <c r="BI47" s="238">
        <f t="shared" si="41"/>
        <v>2.3498233215547706</v>
      </c>
      <c r="BJ47" s="238">
        <f t="shared" si="42"/>
        <v>2.3893129770992365</v>
      </c>
      <c r="BK47" s="238">
        <f t="shared" si="43"/>
        <v>2.442446043165468</v>
      </c>
      <c r="BL47" s="238">
        <f t="shared" si="44"/>
        <v>2.164383561643836</v>
      </c>
      <c r="BM47" s="373">
        <v>31.07</v>
      </c>
      <c r="BN47" s="373">
        <v>22.46</v>
      </c>
      <c r="BO47" s="374">
        <f t="shared" si="24"/>
        <v>0.7228838107499196</v>
      </c>
      <c r="BP47" s="373">
        <v>21.75</v>
      </c>
      <c r="BQ47" s="242">
        <f t="shared" si="13"/>
        <v>0.700032185387834</v>
      </c>
      <c r="BS47" s="234"/>
    </row>
    <row r="48" spans="1:71" ht="15">
      <c r="A48" s="90">
        <v>1506</v>
      </c>
      <c r="B48" s="244" t="s">
        <v>167</v>
      </c>
      <c r="C48" s="236">
        <v>3</v>
      </c>
      <c r="D48" s="237">
        <v>7.43</v>
      </c>
      <c r="E48" s="238">
        <v>7.43</v>
      </c>
      <c r="F48" s="238">
        <v>8.16</v>
      </c>
      <c r="G48" s="238">
        <v>7.16</v>
      </c>
      <c r="H48" s="238">
        <v>7.29</v>
      </c>
      <c r="I48" s="238">
        <v>7.82</v>
      </c>
      <c r="J48" s="238">
        <v>7.42</v>
      </c>
      <c r="K48" s="238">
        <v>7.15</v>
      </c>
      <c r="L48" s="238">
        <v>8.26</v>
      </c>
      <c r="M48" s="239">
        <v>7.59</v>
      </c>
      <c r="N48" s="237">
        <v>3.08</v>
      </c>
      <c r="O48" s="238">
        <v>3.13</v>
      </c>
      <c r="P48" s="238">
        <v>3.13</v>
      </c>
      <c r="Q48" s="238">
        <v>3.25</v>
      </c>
      <c r="R48" s="238">
        <v>2.97</v>
      </c>
      <c r="S48" s="238">
        <v>3.28</v>
      </c>
      <c r="T48" s="238">
        <v>3.26</v>
      </c>
      <c r="U48" s="238">
        <v>3.25</v>
      </c>
      <c r="V48" s="238">
        <v>3.2</v>
      </c>
      <c r="W48" s="240">
        <v>3.27</v>
      </c>
      <c r="X48" s="237">
        <f t="shared" si="45"/>
        <v>2.412337662337662</v>
      </c>
      <c r="Y48" s="238">
        <f t="shared" si="46"/>
        <v>2.373801916932907</v>
      </c>
      <c r="Z48" s="238">
        <f t="shared" si="47"/>
        <v>2.6070287539936103</v>
      </c>
      <c r="AA48" s="238">
        <f t="shared" si="48"/>
        <v>2.203076923076923</v>
      </c>
      <c r="AB48" s="238">
        <f t="shared" si="49"/>
        <v>2.4545454545454546</v>
      </c>
      <c r="AC48" s="238">
        <f t="shared" si="50"/>
        <v>2.3841463414634148</v>
      </c>
      <c r="AD48" s="238">
        <f t="shared" si="51"/>
        <v>2.276073619631902</v>
      </c>
      <c r="AE48" s="238">
        <f t="shared" si="52"/>
        <v>2.2</v>
      </c>
      <c r="AF48" s="238">
        <f t="shared" si="53"/>
        <v>2.58125</v>
      </c>
      <c r="AG48" s="239">
        <f t="shared" si="54"/>
        <v>2.3211009174311927</v>
      </c>
      <c r="AH48" s="244" t="s">
        <v>167</v>
      </c>
      <c r="AI48" s="237">
        <v>5.2</v>
      </c>
      <c r="AJ48" s="241">
        <v>5.14</v>
      </c>
      <c r="AK48" s="241">
        <v>5.23</v>
      </c>
      <c r="AL48" s="241">
        <v>5.21</v>
      </c>
      <c r="AM48" s="241">
        <v>5.18</v>
      </c>
      <c r="AN48" s="241">
        <v>5.15</v>
      </c>
      <c r="AO48" s="241">
        <v>5.23</v>
      </c>
      <c r="AP48" s="241">
        <v>4.77</v>
      </c>
      <c r="AQ48" s="238">
        <v>5.46</v>
      </c>
      <c r="AR48" s="239">
        <v>5.55</v>
      </c>
      <c r="AS48" s="237">
        <v>2.73</v>
      </c>
      <c r="AT48" s="241">
        <v>2.71</v>
      </c>
      <c r="AU48" s="241">
        <v>2.67</v>
      </c>
      <c r="AV48" s="241">
        <v>2.56</v>
      </c>
      <c r="AW48" s="241">
        <v>2.75</v>
      </c>
      <c r="AX48" s="241">
        <v>2.75</v>
      </c>
      <c r="AY48" s="241">
        <v>2.66</v>
      </c>
      <c r="AZ48" s="241">
        <v>2.63</v>
      </c>
      <c r="BA48" s="238">
        <v>2.72</v>
      </c>
      <c r="BB48" s="239">
        <v>2.75</v>
      </c>
      <c r="BC48" s="237">
        <f t="shared" si="35"/>
        <v>1.9047619047619049</v>
      </c>
      <c r="BD48" s="238">
        <f t="shared" si="36"/>
        <v>1.8966789667896677</v>
      </c>
      <c r="BE48" s="238">
        <f t="shared" si="37"/>
        <v>1.958801498127341</v>
      </c>
      <c r="BF48" s="238">
        <f t="shared" si="38"/>
        <v>2.03515625</v>
      </c>
      <c r="BG48" s="238">
        <f t="shared" si="39"/>
        <v>1.8836363636363636</v>
      </c>
      <c r="BH48" s="238">
        <f t="shared" si="40"/>
        <v>1.8727272727272728</v>
      </c>
      <c r="BI48" s="238">
        <f t="shared" si="41"/>
        <v>1.9661654135338347</v>
      </c>
      <c r="BJ48" s="238">
        <f t="shared" si="42"/>
        <v>1.8136882129277565</v>
      </c>
      <c r="BK48" s="238">
        <f t="shared" si="43"/>
        <v>2.0073529411764706</v>
      </c>
      <c r="BL48" s="238">
        <f t="shared" si="44"/>
        <v>2.018181818181818</v>
      </c>
      <c r="BM48" s="373">
        <v>23.66</v>
      </c>
      <c r="BN48" s="373">
        <v>16.06</v>
      </c>
      <c r="BO48" s="374">
        <f t="shared" si="24"/>
        <v>0.6787827557058326</v>
      </c>
      <c r="BP48" s="373">
        <v>14.85</v>
      </c>
      <c r="BQ48" s="242">
        <f t="shared" si="13"/>
        <v>0.6276415891800508</v>
      </c>
      <c r="BS48" s="234"/>
    </row>
    <row r="49" spans="1:71" ht="15">
      <c r="A49" s="90">
        <v>1508</v>
      </c>
      <c r="B49" s="244" t="s">
        <v>168</v>
      </c>
      <c r="C49" s="236">
        <v>3</v>
      </c>
      <c r="D49" s="237">
        <v>8.03</v>
      </c>
      <c r="E49" s="238">
        <v>7.48</v>
      </c>
      <c r="F49" s="238">
        <v>8.22</v>
      </c>
      <c r="G49" s="238">
        <v>7.72</v>
      </c>
      <c r="H49" s="238">
        <v>7.4</v>
      </c>
      <c r="I49" s="238">
        <v>8.44</v>
      </c>
      <c r="J49" s="238">
        <v>8.37</v>
      </c>
      <c r="K49" s="238">
        <v>7.98</v>
      </c>
      <c r="L49" s="238">
        <v>8.77</v>
      </c>
      <c r="M49" s="239">
        <v>8.47</v>
      </c>
      <c r="N49" s="237">
        <v>3.44</v>
      </c>
      <c r="O49" s="238">
        <v>3.25</v>
      </c>
      <c r="P49" s="238">
        <v>3.26</v>
      </c>
      <c r="Q49" s="238">
        <v>3.33</v>
      </c>
      <c r="R49" s="238">
        <v>3.16</v>
      </c>
      <c r="S49" s="238">
        <v>3.52</v>
      </c>
      <c r="T49" s="238">
        <v>3.32</v>
      </c>
      <c r="U49" s="238">
        <v>3.37</v>
      </c>
      <c r="V49" s="238">
        <v>3.45</v>
      </c>
      <c r="W49" s="240">
        <v>3.39</v>
      </c>
      <c r="X49" s="237">
        <f t="shared" si="45"/>
        <v>2.3343023255813953</v>
      </c>
      <c r="Y49" s="238">
        <f t="shared" si="46"/>
        <v>2.3015384615384615</v>
      </c>
      <c r="Z49" s="238">
        <f t="shared" si="47"/>
        <v>2.5214723926380374</v>
      </c>
      <c r="AA49" s="238">
        <f t="shared" si="48"/>
        <v>2.318318318318318</v>
      </c>
      <c r="AB49" s="238">
        <f t="shared" si="49"/>
        <v>2.3417721518987342</v>
      </c>
      <c r="AC49" s="238">
        <f t="shared" si="50"/>
        <v>2.3977272727272725</v>
      </c>
      <c r="AD49" s="238">
        <f t="shared" si="51"/>
        <v>2.5210843373493974</v>
      </c>
      <c r="AE49" s="238">
        <f t="shared" si="52"/>
        <v>2.367952522255193</v>
      </c>
      <c r="AF49" s="238">
        <f t="shared" si="53"/>
        <v>2.542028985507246</v>
      </c>
      <c r="AG49" s="239">
        <f t="shared" si="54"/>
        <v>2.498525073746313</v>
      </c>
      <c r="AH49" s="244" t="s">
        <v>168</v>
      </c>
      <c r="AI49" s="237">
        <v>6.31</v>
      </c>
      <c r="AJ49" s="241">
        <v>5.94</v>
      </c>
      <c r="AK49" s="241">
        <v>5.82</v>
      </c>
      <c r="AL49" s="241">
        <v>5.63</v>
      </c>
      <c r="AM49" s="241">
        <v>5.85</v>
      </c>
      <c r="AN49" s="241">
        <v>6.09</v>
      </c>
      <c r="AO49" s="241">
        <v>5.78</v>
      </c>
      <c r="AP49" s="241">
        <v>5.57</v>
      </c>
      <c r="AQ49" s="238">
        <v>5.87</v>
      </c>
      <c r="AR49" s="239">
        <v>5.63</v>
      </c>
      <c r="AS49" s="237">
        <v>2.89</v>
      </c>
      <c r="AT49" s="241">
        <v>2.99</v>
      </c>
      <c r="AU49" s="241">
        <v>2.76</v>
      </c>
      <c r="AV49" s="241">
        <v>2.82</v>
      </c>
      <c r="AW49" s="241">
        <v>2.83</v>
      </c>
      <c r="AX49" s="241">
        <v>2.95</v>
      </c>
      <c r="AY49" s="241">
        <v>2.91</v>
      </c>
      <c r="AZ49" s="241">
        <v>2.82</v>
      </c>
      <c r="BA49" s="238">
        <v>2.94</v>
      </c>
      <c r="BB49" s="239">
        <v>2.96</v>
      </c>
      <c r="BC49" s="237">
        <f t="shared" si="35"/>
        <v>2.1833910034602075</v>
      </c>
      <c r="BD49" s="238">
        <f t="shared" si="36"/>
        <v>1.9866220735785953</v>
      </c>
      <c r="BE49" s="238">
        <f t="shared" si="37"/>
        <v>2.1086956521739135</v>
      </c>
      <c r="BF49" s="238">
        <f t="shared" si="38"/>
        <v>1.99645390070922</v>
      </c>
      <c r="BG49" s="238">
        <f t="shared" si="39"/>
        <v>2.067137809187279</v>
      </c>
      <c r="BH49" s="238">
        <f t="shared" si="40"/>
        <v>2.0644067796610166</v>
      </c>
      <c r="BI49" s="238">
        <f t="shared" si="41"/>
        <v>1.986254295532646</v>
      </c>
      <c r="BJ49" s="238">
        <f t="shared" si="42"/>
        <v>1.9751773049645391</v>
      </c>
      <c r="BK49" s="238">
        <f t="shared" si="43"/>
        <v>1.9965986394557824</v>
      </c>
      <c r="BL49" s="238">
        <f t="shared" si="44"/>
        <v>1.902027027027027</v>
      </c>
      <c r="BM49" s="373">
        <v>29.25</v>
      </c>
      <c r="BN49" s="373">
        <v>19.75</v>
      </c>
      <c r="BO49" s="374">
        <f t="shared" si="24"/>
        <v>0.6752136752136753</v>
      </c>
      <c r="BP49" s="373">
        <v>18.7</v>
      </c>
      <c r="BQ49" s="242">
        <f t="shared" si="13"/>
        <v>0.6393162393162393</v>
      </c>
      <c r="BS49" s="234"/>
    </row>
    <row r="50" spans="1:71" ht="15">
      <c r="A50" s="90">
        <v>1511</v>
      </c>
      <c r="B50" s="244" t="s">
        <v>169</v>
      </c>
      <c r="C50" s="236">
        <v>3</v>
      </c>
      <c r="D50" s="237">
        <v>8.97</v>
      </c>
      <c r="E50" s="238">
        <v>8.68</v>
      </c>
      <c r="F50" s="238">
        <v>9.14</v>
      </c>
      <c r="G50" s="238">
        <v>9.49</v>
      </c>
      <c r="H50" s="238">
        <v>8.61</v>
      </c>
      <c r="I50" s="238">
        <v>9.52</v>
      </c>
      <c r="J50" s="238">
        <v>9.42</v>
      </c>
      <c r="K50" s="238">
        <v>9.04</v>
      </c>
      <c r="L50" s="238">
        <v>9.6</v>
      </c>
      <c r="M50" s="239">
        <v>9.08</v>
      </c>
      <c r="N50" s="237">
        <v>3.26</v>
      </c>
      <c r="O50" s="238">
        <v>3.25</v>
      </c>
      <c r="P50" s="238">
        <v>3.3</v>
      </c>
      <c r="Q50" s="238">
        <v>3.18</v>
      </c>
      <c r="R50" s="238">
        <v>3.2</v>
      </c>
      <c r="S50" s="238">
        <v>3.21</v>
      </c>
      <c r="T50" s="238">
        <v>3.53</v>
      </c>
      <c r="U50" s="238">
        <v>3.38</v>
      </c>
      <c r="V50" s="238">
        <v>3.47</v>
      </c>
      <c r="W50" s="240">
        <v>3.28</v>
      </c>
      <c r="X50" s="237">
        <f t="shared" si="45"/>
        <v>2.7515337423312887</v>
      </c>
      <c r="Y50" s="238">
        <f t="shared" si="46"/>
        <v>2.670769230769231</v>
      </c>
      <c r="Z50" s="238">
        <f t="shared" si="47"/>
        <v>2.76969696969697</v>
      </c>
      <c r="AA50" s="238">
        <f t="shared" si="48"/>
        <v>2.9842767295597485</v>
      </c>
      <c r="AB50" s="238">
        <f t="shared" si="49"/>
        <v>2.690625</v>
      </c>
      <c r="AC50" s="238">
        <f t="shared" si="50"/>
        <v>2.965732087227414</v>
      </c>
      <c r="AD50" s="238">
        <f t="shared" si="51"/>
        <v>2.6685552407932014</v>
      </c>
      <c r="AE50" s="238">
        <f t="shared" si="52"/>
        <v>2.6745562130177514</v>
      </c>
      <c r="AF50" s="238">
        <f t="shared" si="53"/>
        <v>2.7665706051873196</v>
      </c>
      <c r="AG50" s="239">
        <f t="shared" si="54"/>
        <v>2.7682926829268295</v>
      </c>
      <c r="AH50" s="244" t="s">
        <v>169</v>
      </c>
      <c r="AI50" s="237">
        <v>6.69</v>
      </c>
      <c r="AJ50" s="241">
        <v>6.72</v>
      </c>
      <c r="AK50" s="241">
        <v>6.62</v>
      </c>
      <c r="AL50" s="241">
        <v>6.3</v>
      </c>
      <c r="AM50" s="241">
        <v>5.75</v>
      </c>
      <c r="AN50" s="241">
        <v>6.53</v>
      </c>
      <c r="AO50" s="241">
        <v>6.82</v>
      </c>
      <c r="AP50" s="241">
        <v>6.33</v>
      </c>
      <c r="AQ50" s="238">
        <v>6.49</v>
      </c>
      <c r="AR50" s="239">
        <v>7.13</v>
      </c>
      <c r="AS50" s="237">
        <v>2.81</v>
      </c>
      <c r="AT50" s="241">
        <v>2.91</v>
      </c>
      <c r="AU50" s="241">
        <v>2.82</v>
      </c>
      <c r="AV50" s="241">
        <v>2.75</v>
      </c>
      <c r="AW50" s="241">
        <v>2.73</v>
      </c>
      <c r="AX50" s="241">
        <v>2.95</v>
      </c>
      <c r="AY50" s="241">
        <v>2.84</v>
      </c>
      <c r="AZ50" s="241">
        <v>2.88</v>
      </c>
      <c r="BA50" s="238">
        <v>2.84</v>
      </c>
      <c r="BB50" s="239">
        <v>2.81</v>
      </c>
      <c r="BC50" s="237">
        <f t="shared" si="35"/>
        <v>2.380782918149466</v>
      </c>
      <c r="BD50" s="238">
        <f t="shared" si="36"/>
        <v>2.3092783505154637</v>
      </c>
      <c r="BE50" s="238">
        <f t="shared" si="37"/>
        <v>2.3475177304964543</v>
      </c>
      <c r="BF50" s="238">
        <f t="shared" si="38"/>
        <v>2.290909090909091</v>
      </c>
      <c r="BG50" s="238">
        <f t="shared" si="39"/>
        <v>2.1062271062271063</v>
      </c>
      <c r="BH50" s="238">
        <f t="shared" si="40"/>
        <v>2.2135593220338983</v>
      </c>
      <c r="BI50" s="238">
        <f t="shared" si="41"/>
        <v>2.4014084507042255</v>
      </c>
      <c r="BJ50" s="238">
        <f t="shared" si="42"/>
        <v>2.197916666666667</v>
      </c>
      <c r="BK50" s="238">
        <f t="shared" si="43"/>
        <v>2.285211267605634</v>
      </c>
      <c r="BL50" s="238">
        <f t="shared" si="44"/>
        <v>2.5373665480427046</v>
      </c>
      <c r="BM50" s="373">
        <v>32.66</v>
      </c>
      <c r="BN50" s="373">
        <v>23.02</v>
      </c>
      <c r="BO50" s="374">
        <f t="shared" si="24"/>
        <v>0.7048377219840785</v>
      </c>
      <c r="BP50" s="373">
        <v>20.580000000000002</v>
      </c>
      <c r="BQ50" s="242">
        <f t="shared" si="13"/>
        <v>0.6301285976729946</v>
      </c>
      <c r="BS50" s="234"/>
    </row>
    <row r="51" spans="1:71" ht="15">
      <c r="A51" s="90">
        <v>1514</v>
      </c>
      <c r="B51" s="246" t="s">
        <v>170</v>
      </c>
      <c r="C51" s="236">
        <v>3</v>
      </c>
      <c r="D51" s="237">
        <v>7.47</v>
      </c>
      <c r="E51" s="238">
        <v>6.92</v>
      </c>
      <c r="F51" s="238">
        <v>7.45</v>
      </c>
      <c r="G51" s="238">
        <v>7.26</v>
      </c>
      <c r="H51" s="238">
        <v>6.59</v>
      </c>
      <c r="I51" s="238">
        <v>7.41</v>
      </c>
      <c r="J51" s="238">
        <v>7.58</v>
      </c>
      <c r="K51" s="238">
        <v>7.23</v>
      </c>
      <c r="L51" s="238">
        <v>7.65</v>
      </c>
      <c r="M51" s="239">
        <v>7.23</v>
      </c>
      <c r="N51" s="237">
        <v>3.65</v>
      </c>
      <c r="O51" s="238">
        <v>3.42</v>
      </c>
      <c r="P51" s="238">
        <v>3.47</v>
      </c>
      <c r="Q51" s="238">
        <v>3.49</v>
      </c>
      <c r="R51" s="238">
        <v>3.51</v>
      </c>
      <c r="S51" s="238">
        <v>3.47</v>
      </c>
      <c r="T51" s="238">
        <v>3.36</v>
      </c>
      <c r="U51" s="238">
        <v>3.35</v>
      </c>
      <c r="V51" s="238">
        <v>3.64</v>
      </c>
      <c r="W51" s="240">
        <v>3.52</v>
      </c>
      <c r="X51" s="237">
        <f t="shared" si="45"/>
        <v>2.0465753424657533</v>
      </c>
      <c r="Y51" s="238">
        <f t="shared" si="46"/>
        <v>2.0233918128654973</v>
      </c>
      <c r="Z51" s="238">
        <f t="shared" si="47"/>
        <v>2.1469740634005765</v>
      </c>
      <c r="AA51" s="238">
        <f t="shared" si="48"/>
        <v>2.0802292263610314</v>
      </c>
      <c r="AB51" s="238">
        <f t="shared" si="49"/>
        <v>1.8774928774928776</v>
      </c>
      <c r="AC51" s="238">
        <f t="shared" si="50"/>
        <v>2.1354466858789625</v>
      </c>
      <c r="AD51" s="238">
        <f t="shared" si="51"/>
        <v>2.255952380952381</v>
      </c>
      <c r="AE51" s="238">
        <f t="shared" si="52"/>
        <v>2.1582089552238806</v>
      </c>
      <c r="AF51" s="238">
        <f t="shared" si="53"/>
        <v>2.1016483516483517</v>
      </c>
      <c r="AG51" s="239">
        <f t="shared" si="54"/>
        <v>2.053977272727273</v>
      </c>
      <c r="AH51" s="246" t="s">
        <v>170</v>
      </c>
      <c r="AI51" s="237">
        <v>5.05</v>
      </c>
      <c r="AJ51" s="241">
        <v>5.05</v>
      </c>
      <c r="AK51" s="241">
        <v>5.23</v>
      </c>
      <c r="AL51" s="241">
        <v>5.06</v>
      </c>
      <c r="AM51" s="241">
        <v>5.31</v>
      </c>
      <c r="AN51" s="241">
        <v>5.12</v>
      </c>
      <c r="AO51" s="241">
        <v>5.37</v>
      </c>
      <c r="AP51" s="241">
        <v>5.08</v>
      </c>
      <c r="AQ51" s="238">
        <v>5.92</v>
      </c>
      <c r="AR51" s="239">
        <v>5.14</v>
      </c>
      <c r="AS51" s="237">
        <v>3.04</v>
      </c>
      <c r="AT51" s="241">
        <v>3.1</v>
      </c>
      <c r="AU51" s="241">
        <v>3.16</v>
      </c>
      <c r="AV51" s="241">
        <v>2.93</v>
      </c>
      <c r="AW51" s="241">
        <v>3.04</v>
      </c>
      <c r="AX51" s="241">
        <v>3.12</v>
      </c>
      <c r="AY51" s="241">
        <v>3.15</v>
      </c>
      <c r="AZ51" s="241">
        <v>2.96</v>
      </c>
      <c r="BA51" s="238">
        <v>3.09</v>
      </c>
      <c r="BB51" s="239">
        <v>3.11</v>
      </c>
      <c r="BC51" s="237">
        <f t="shared" si="35"/>
        <v>1.6611842105263157</v>
      </c>
      <c r="BD51" s="238">
        <f t="shared" si="36"/>
        <v>1.629032258064516</v>
      </c>
      <c r="BE51" s="238">
        <f t="shared" si="37"/>
        <v>1.6550632911392407</v>
      </c>
      <c r="BF51" s="238">
        <f t="shared" si="38"/>
        <v>1.7269624573378837</v>
      </c>
      <c r="BG51" s="238">
        <f t="shared" si="39"/>
        <v>1.7467105263157894</v>
      </c>
      <c r="BH51" s="238">
        <f t="shared" si="40"/>
        <v>1.641025641025641</v>
      </c>
      <c r="BI51" s="238">
        <f t="shared" si="41"/>
        <v>1.704761904761905</v>
      </c>
      <c r="BJ51" s="238">
        <f t="shared" si="42"/>
        <v>1.7162162162162162</v>
      </c>
      <c r="BK51" s="238">
        <f t="shared" si="43"/>
        <v>1.9158576051779936</v>
      </c>
      <c r="BL51" s="238">
        <f t="shared" si="44"/>
        <v>1.652733118971061</v>
      </c>
      <c r="BM51" s="373">
        <v>29.04</v>
      </c>
      <c r="BN51" s="373">
        <v>20.17</v>
      </c>
      <c r="BO51" s="374">
        <f t="shared" si="24"/>
        <v>0.6945592286501379</v>
      </c>
      <c r="BP51" s="373">
        <v>15.659999999999998</v>
      </c>
      <c r="BQ51" s="242">
        <f t="shared" si="13"/>
        <v>0.5392561983471074</v>
      </c>
      <c r="BS51" s="234"/>
    </row>
    <row r="52" spans="1:71" ht="15">
      <c r="A52" s="90">
        <v>1516</v>
      </c>
      <c r="B52" s="244" t="s">
        <v>171</v>
      </c>
      <c r="C52" s="236">
        <v>3</v>
      </c>
      <c r="D52" s="237">
        <v>9.87</v>
      </c>
      <c r="E52" s="238">
        <v>9.64</v>
      </c>
      <c r="F52" s="238">
        <v>9.12</v>
      </c>
      <c r="G52" s="238">
        <v>9.39</v>
      </c>
      <c r="H52" s="238">
        <v>8.84</v>
      </c>
      <c r="I52" s="238">
        <v>9.54</v>
      </c>
      <c r="J52" s="238">
        <v>9.27</v>
      </c>
      <c r="K52" s="238">
        <v>9.62</v>
      </c>
      <c r="L52" s="238">
        <v>9.67</v>
      </c>
      <c r="M52" s="239">
        <v>9.57</v>
      </c>
      <c r="N52" s="237">
        <v>3.78</v>
      </c>
      <c r="O52" s="238">
        <v>3.54</v>
      </c>
      <c r="P52" s="238">
        <v>3.59</v>
      </c>
      <c r="Q52" s="238">
        <v>3.43</v>
      </c>
      <c r="R52" s="238">
        <v>3.56</v>
      </c>
      <c r="S52" s="238">
        <v>3.64</v>
      </c>
      <c r="T52" s="238">
        <v>3.14</v>
      </c>
      <c r="U52" s="238">
        <v>3.31</v>
      </c>
      <c r="V52" s="238">
        <v>3.84</v>
      </c>
      <c r="W52" s="240">
        <v>3.57</v>
      </c>
      <c r="X52" s="237">
        <f aca="true" t="shared" si="55" ref="X52:X74">D52/N52</f>
        <v>2.611111111111111</v>
      </c>
      <c r="Y52" s="238">
        <f aca="true" t="shared" si="56" ref="Y52:Y74">E52/O52</f>
        <v>2.7231638418079096</v>
      </c>
      <c r="Z52" s="238">
        <f aca="true" t="shared" si="57" ref="Z52:Z74">F52/P52</f>
        <v>2.5403899721448466</v>
      </c>
      <c r="AA52" s="238">
        <f aca="true" t="shared" si="58" ref="AA52:AA74">G52/Q52</f>
        <v>2.737609329446064</v>
      </c>
      <c r="AB52" s="238">
        <f aca="true" t="shared" si="59" ref="AB52:AB74">H52/R52</f>
        <v>2.4831460674157304</v>
      </c>
      <c r="AC52" s="238">
        <f aca="true" t="shared" si="60" ref="AC52:AC74">I52/S52</f>
        <v>2.6208791208791204</v>
      </c>
      <c r="AD52" s="238">
        <f aca="true" t="shared" si="61" ref="AD52:AD74">J52/T52</f>
        <v>2.952229299363057</v>
      </c>
      <c r="AE52" s="238">
        <f aca="true" t="shared" si="62" ref="AE52:AE74">K52/U52</f>
        <v>2.9063444108761325</v>
      </c>
      <c r="AF52" s="238">
        <f aca="true" t="shared" si="63" ref="AF52:AF74">L52/V52</f>
        <v>2.518229166666667</v>
      </c>
      <c r="AG52" s="239">
        <f aca="true" t="shared" si="64" ref="AG52:AG74">M52/W52</f>
        <v>2.6806722689075633</v>
      </c>
      <c r="AH52" s="244" t="s">
        <v>171</v>
      </c>
      <c r="AI52" s="237">
        <v>6.8</v>
      </c>
      <c r="AJ52" s="241">
        <v>6.92</v>
      </c>
      <c r="AK52" s="241">
        <v>6.48</v>
      </c>
      <c r="AL52" s="241">
        <v>6.71</v>
      </c>
      <c r="AM52" s="241">
        <v>6.52</v>
      </c>
      <c r="AN52" s="241">
        <v>7.12</v>
      </c>
      <c r="AO52" s="241">
        <v>7.11</v>
      </c>
      <c r="AP52" s="241">
        <v>6.52</v>
      </c>
      <c r="AQ52" s="238">
        <v>6.01</v>
      </c>
      <c r="AR52" s="239">
        <v>6.98</v>
      </c>
      <c r="AS52" s="237">
        <v>3.06</v>
      </c>
      <c r="AT52" s="241">
        <v>2.96</v>
      </c>
      <c r="AU52" s="241">
        <v>3.07</v>
      </c>
      <c r="AV52" s="241">
        <v>3.1</v>
      </c>
      <c r="AW52" s="241">
        <v>2.97</v>
      </c>
      <c r="AX52" s="241">
        <v>3.23</v>
      </c>
      <c r="AY52" s="241">
        <v>3.2</v>
      </c>
      <c r="AZ52" s="241">
        <v>3.11</v>
      </c>
      <c r="BA52" s="238">
        <v>3.07</v>
      </c>
      <c r="BB52" s="239">
        <v>3.07</v>
      </c>
      <c r="BC52" s="237">
        <f t="shared" si="35"/>
        <v>2.2222222222222223</v>
      </c>
      <c r="BD52" s="238">
        <f t="shared" si="36"/>
        <v>2.3378378378378377</v>
      </c>
      <c r="BE52" s="238">
        <f t="shared" si="37"/>
        <v>2.1107491856677525</v>
      </c>
      <c r="BF52" s="238">
        <f t="shared" si="38"/>
        <v>2.164516129032258</v>
      </c>
      <c r="BG52" s="238">
        <f t="shared" si="39"/>
        <v>2.195286195286195</v>
      </c>
      <c r="BH52" s="238">
        <f t="shared" si="40"/>
        <v>2.2043343653250775</v>
      </c>
      <c r="BI52" s="238">
        <f t="shared" si="41"/>
        <v>2.221875</v>
      </c>
      <c r="BJ52" s="238">
        <f t="shared" si="42"/>
        <v>2.0964630225080385</v>
      </c>
      <c r="BK52" s="238">
        <f t="shared" si="43"/>
        <v>1.9576547231270358</v>
      </c>
      <c r="BL52" s="238">
        <f t="shared" si="44"/>
        <v>2.273615635179153</v>
      </c>
      <c r="BM52" s="373">
        <v>35.94</v>
      </c>
      <c r="BN52" s="373">
        <v>23.88</v>
      </c>
      <c r="BO52" s="374">
        <f t="shared" si="24"/>
        <v>0.664440734557596</v>
      </c>
      <c r="BP52" s="373">
        <v>19.08</v>
      </c>
      <c r="BQ52" s="242">
        <f t="shared" si="13"/>
        <v>0.5308848080133556</v>
      </c>
      <c r="BS52" s="234"/>
    </row>
    <row r="53" spans="1:71" ht="15">
      <c r="A53" s="90">
        <v>1530</v>
      </c>
      <c r="B53" s="244" t="s">
        <v>172</v>
      </c>
      <c r="C53" s="236">
        <v>3</v>
      </c>
      <c r="D53" s="237">
        <v>8.71</v>
      </c>
      <c r="E53" s="238">
        <v>8.62</v>
      </c>
      <c r="F53" s="238">
        <v>9.65</v>
      </c>
      <c r="G53" s="238">
        <v>8.95</v>
      </c>
      <c r="H53" s="238">
        <v>8.94</v>
      </c>
      <c r="I53" s="238">
        <v>8.99</v>
      </c>
      <c r="J53" s="238">
        <v>8.53</v>
      </c>
      <c r="K53" s="238">
        <v>9.51</v>
      </c>
      <c r="L53" s="238">
        <v>8.99</v>
      </c>
      <c r="M53" s="239">
        <v>8.95</v>
      </c>
      <c r="N53" s="237">
        <v>3.5</v>
      </c>
      <c r="O53" s="238">
        <v>3.57</v>
      </c>
      <c r="P53" s="238">
        <v>3.74</v>
      </c>
      <c r="Q53" s="238">
        <v>3.89</v>
      </c>
      <c r="R53" s="238">
        <v>3.49</v>
      </c>
      <c r="S53" s="238">
        <v>3.76</v>
      </c>
      <c r="T53" s="238">
        <v>3.34</v>
      </c>
      <c r="U53" s="238">
        <v>3.71</v>
      </c>
      <c r="V53" s="238">
        <v>3.65</v>
      </c>
      <c r="W53" s="240">
        <v>3.56</v>
      </c>
      <c r="X53" s="237">
        <f t="shared" si="55"/>
        <v>2.488571428571429</v>
      </c>
      <c r="Y53" s="238">
        <f t="shared" si="56"/>
        <v>2.414565826330532</v>
      </c>
      <c r="Z53" s="238">
        <f t="shared" si="57"/>
        <v>2.5802139037433154</v>
      </c>
      <c r="AA53" s="238">
        <f t="shared" si="58"/>
        <v>2.300771208226221</v>
      </c>
      <c r="AB53" s="238">
        <f t="shared" si="59"/>
        <v>2.5616045845272204</v>
      </c>
      <c r="AC53" s="238">
        <f t="shared" si="60"/>
        <v>2.390957446808511</v>
      </c>
      <c r="AD53" s="238">
        <f t="shared" si="61"/>
        <v>2.553892215568862</v>
      </c>
      <c r="AE53" s="238">
        <f t="shared" si="62"/>
        <v>2.5633423180592994</v>
      </c>
      <c r="AF53" s="238">
        <f t="shared" si="63"/>
        <v>2.463013698630137</v>
      </c>
      <c r="AG53" s="239">
        <f t="shared" si="64"/>
        <v>2.5140449438202244</v>
      </c>
      <c r="AH53" s="244" t="s">
        <v>172</v>
      </c>
      <c r="AI53" s="237">
        <v>6.36</v>
      </c>
      <c r="AJ53" s="241">
        <v>6.64</v>
      </c>
      <c r="AK53" s="241">
        <v>6.61</v>
      </c>
      <c r="AL53" s="241">
        <v>6.51</v>
      </c>
      <c r="AM53" s="241">
        <v>6.38</v>
      </c>
      <c r="AN53" s="241">
        <v>6.38</v>
      </c>
      <c r="AO53" s="241">
        <v>6.31</v>
      </c>
      <c r="AP53" s="241">
        <v>6.33</v>
      </c>
      <c r="AQ53" s="238">
        <v>6.96</v>
      </c>
      <c r="AR53" s="239">
        <v>6.25</v>
      </c>
      <c r="AS53" s="237">
        <v>2.99</v>
      </c>
      <c r="AT53" s="241">
        <v>3.14</v>
      </c>
      <c r="AU53" s="241">
        <v>3.15</v>
      </c>
      <c r="AV53" s="241">
        <v>3.11</v>
      </c>
      <c r="AW53" s="241">
        <v>3.06</v>
      </c>
      <c r="AX53" s="241">
        <v>3.187</v>
      </c>
      <c r="AY53" s="241">
        <v>2.97</v>
      </c>
      <c r="AZ53" s="241">
        <v>3.05</v>
      </c>
      <c r="BA53" s="238">
        <v>3.27</v>
      </c>
      <c r="BB53" s="239">
        <v>3.1</v>
      </c>
      <c r="BC53" s="237">
        <f t="shared" si="35"/>
        <v>2.1270903010033444</v>
      </c>
      <c r="BD53" s="238">
        <f t="shared" si="36"/>
        <v>2.1146496815286624</v>
      </c>
      <c r="BE53" s="238">
        <f t="shared" si="37"/>
        <v>2.0984126984126985</v>
      </c>
      <c r="BF53" s="238">
        <f t="shared" si="38"/>
        <v>2.0932475884244375</v>
      </c>
      <c r="BG53" s="238">
        <f t="shared" si="39"/>
        <v>2.084967320261438</v>
      </c>
      <c r="BH53" s="238">
        <f t="shared" si="40"/>
        <v>2.0018826482585506</v>
      </c>
      <c r="BI53" s="238">
        <f t="shared" si="41"/>
        <v>2.124579124579124</v>
      </c>
      <c r="BJ53" s="238">
        <f t="shared" si="42"/>
        <v>2.0754098360655737</v>
      </c>
      <c r="BK53" s="238">
        <f t="shared" si="43"/>
        <v>2.128440366972477</v>
      </c>
      <c r="BL53" s="238">
        <f t="shared" si="44"/>
        <v>2.0161290322580645</v>
      </c>
      <c r="BM53" s="373">
        <f>2*17.81</f>
        <v>35.62</v>
      </c>
      <c r="BN53" s="373">
        <f>2*11.67</f>
        <v>23.34</v>
      </c>
      <c r="BO53" s="374">
        <f t="shared" si="24"/>
        <v>0.6552498596294217</v>
      </c>
      <c r="BP53" s="373">
        <f>2*10.3</f>
        <v>20.6</v>
      </c>
      <c r="BQ53" s="242">
        <f t="shared" si="13"/>
        <v>0.5783267827063449</v>
      </c>
      <c r="BS53" s="234"/>
    </row>
    <row r="54" spans="1:71" ht="15">
      <c r="A54" s="194">
        <v>1634</v>
      </c>
      <c r="B54" s="244" t="s">
        <v>173</v>
      </c>
      <c r="C54" s="236">
        <v>3</v>
      </c>
      <c r="D54" s="237">
        <v>11.19</v>
      </c>
      <c r="E54" s="238">
        <v>11.07</v>
      </c>
      <c r="F54" s="238">
        <v>11.02</v>
      </c>
      <c r="G54" s="238">
        <v>9.93</v>
      </c>
      <c r="H54" s="238">
        <v>10.69</v>
      </c>
      <c r="I54" s="238">
        <v>10.93</v>
      </c>
      <c r="J54" s="238">
        <v>11.02</v>
      </c>
      <c r="K54" s="238">
        <v>9.54</v>
      </c>
      <c r="L54" s="238">
        <v>10.47</v>
      </c>
      <c r="M54" s="239">
        <v>10.36</v>
      </c>
      <c r="N54" s="237">
        <v>3.22</v>
      </c>
      <c r="O54" s="238">
        <v>3.05</v>
      </c>
      <c r="P54" s="238">
        <v>3.43</v>
      </c>
      <c r="Q54" s="238">
        <v>3.21</v>
      </c>
      <c r="R54" s="238">
        <v>3.13</v>
      </c>
      <c r="S54" s="238">
        <v>3.43</v>
      </c>
      <c r="T54" s="238">
        <v>3.11</v>
      </c>
      <c r="U54" s="238">
        <v>3.19</v>
      </c>
      <c r="V54" s="238">
        <v>3.2</v>
      </c>
      <c r="W54" s="240">
        <v>3.28</v>
      </c>
      <c r="X54" s="237">
        <f t="shared" si="55"/>
        <v>3.475155279503105</v>
      </c>
      <c r="Y54" s="238">
        <f t="shared" si="56"/>
        <v>3.6295081967213116</v>
      </c>
      <c r="Z54" s="238">
        <f t="shared" si="57"/>
        <v>3.212827988338192</v>
      </c>
      <c r="AA54" s="238">
        <f t="shared" si="58"/>
        <v>3.0934579439252334</v>
      </c>
      <c r="AB54" s="238">
        <f t="shared" si="59"/>
        <v>3.415335463258786</v>
      </c>
      <c r="AC54" s="238">
        <f t="shared" si="60"/>
        <v>3.1865889212827985</v>
      </c>
      <c r="AD54" s="238">
        <f t="shared" si="61"/>
        <v>3.5434083601286175</v>
      </c>
      <c r="AE54" s="238">
        <f t="shared" si="62"/>
        <v>2.9905956112852663</v>
      </c>
      <c r="AF54" s="238">
        <f t="shared" si="63"/>
        <v>3.271875</v>
      </c>
      <c r="AG54" s="239">
        <f t="shared" si="64"/>
        <v>3.158536585365854</v>
      </c>
      <c r="AH54" s="244" t="s">
        <v>173</v>
      </c>
      <c r="AI54" s="237"/>
      <c r="AJ54" s="241"/>
      <c r="AK54" s="241"/>
      <c r="AL54" s="241"/>
      <c r="AM54" s="241"/>
      <c r="AN54" s="241"/>
      <c r="AO54" s="241"/>
      <c r="AP54" s="241"/>
      <c r="AQ54" s="238"/>
      <c r="AR54" s="239"/>
      <c r="AS54" s="237"/>
      <c r="AT54" s="241"/>
      <c r="AU54" s="241"/>
      <c r="AV54" s="241"/>
      <c r="AW54" s="241"/>
      <c r="AX54" s="241"/>
      <c r="AY54" s="241"/>
      <c r="AZ54" s="241"/>
      <c r="BA54" s="238"/>
      <c r="BB54" s="239"/>
      <c r="BC54" s="237"/>
      <c r="BD54" s="238"/>
      <c r="BE54" s="238"/>
      <c r="BF54" s="238"/>
      <c r="BG54" s="238"/>
      <c r="BH54" s="238"/>
      <c r="BI54" s="238"/>
      <c r="BJ54" s="238"/>
      <c r="BK54" s="238"/>
      <c r="BL54" s="238"/>
      <c r="BM54" s="373"/>
      <c r="BN54" s="373"/>
      <c r="BO54" s="374"/>
      <c r="BP54" s="373"/>
      <c r="BQ54" s="242"/>
      <c r="BS54" s="234"/>
    </row>
    <row r="55" spans="1:71" ht="15">
      <c r="A55" s="194">
        <v>1635</v>
      </c>
      <c r="B55" s="244" t="s">
        <v>174</v>
      </c>
      <c r="C55" s="236">
        <v>3</v>
      </c>
      <c r="D55" s="237">
        <v>11.67</v>
      </c>
      <c r="E55" s="238">
        <v>10.66</v>
      </c>
      <c r="F55" s="238">
        <v>12.2</v>
      </c>
      <c r="G55" s="238">
        <v>10.97</v>
      </c>
      <c r="H55" s="238">
        <v>10.75</v>
      </c>
      <c r="I55" s="238">
        <v>12.71</v>
      </c>
      <c r="J55" s="238">
        <v>12.73</v>
      </c>
      <c r="K55" s="238">
        <v>12.25</v>
      </c>
      <c r="L55" s="238">
        <v>10.65</v>
      </c>
      <c r="M55" s="239">
        <v>11.59</v>
      </c>
      <c r="N55" s="237">
        <v>2.62</v>
      </c>
      <c r="O55" s="238">
        <v>2.83</v>
      </c>
      <c r="P55" s="238">
        <v>2.57</v>
      </c>
      <c r="Q55" s="238">
        <v>2.68</v>
      </c>
      <c r="R55" s="238">
        <v>2.49</v>
      </c>
      <c r="S55" s="238">
        <v>2.72</v>
      </c>
      <c r="T55" s="238">
        <v>2.73</v>
      </c>
      <c r="U55" s="238">
        <v>2.87</v>
      </c>
      <c r="V55" s="238">
        <v>2.7</v>
      </c>
      <c r="W55" s="240">
        <v>2.94</v>
      </c>
      <c r="X55" s="237">
        <f t="shared" si="55"/>
        <v>4.4541984732824424</v>
      </c>
      <c r="Y55" s="238">
        <f t="shared" si="56"/>
        <v>3.76678445229682</v>
      </c>
      <c r="Z55" s="238">
        <f t="shared" si="57"/>
        <v>4.747081712062257</v>
      </c>
      <c r="AA55" s="238">
        <f t="shared" si="58"/>
        <v>4.093283582089552</v>
      </c>
      <c r="AB55" s="238">
        <f t="shared" si="59"/>
        <v>4.31726907630522</v>
      </c>
      <c r="AC55" s="238">
        <f t="shared" si="60"/>
        <v>4.672794117647059</v>
      </c>
      <c r="AD55" s="238">
        <f t="shared" si="61"/>
        <v>4.663003663003663</v>
      </c>
      <c r="AE55" s="238">
        <f t="shared" si="62"/>
        <v>4.2682926829268295</v>
      </c>
      <c r="AF55" s="238">
        <f t="shared" si="63"/>
        <v>3.944444444444444</v>
      </c>
      <c r="AG55" s="239">
        <f t="shared" si="64"/>
        <v>3.942176870748299</v>
      </c>
      <c r="AH55" s="244" t="s">
        <v>174</v>
      </c>
      <c r="AI55" s="237">
        <v>8.66</v>
      </c>
      <c r="AJ55" s="241">
        <v>8.01</v>
      </c>
      <c r="AK55" s="241">
        <v>7.79</v>
      </c>
      <c r="AL55" s="241">
        <v>7.81</v>
      </c>
      <c r="AM55" s="241">
        <v>7.69</v>
      </c>
      <c r="AN55" s="241">
        <v>8.04</v>
      </c>
      <c r="AO55" s="241">
        <v>8.18</v>
      </c>
      <c r="AP55" s="241">
        <v>8.11</v>
      </c>
      <c r="AQ55" s="238">
        <v>8.04</v>
      </c>
      <c r="AR55" s="239">
        <v>8.51</v>
      </c>
      <c r="AS55" s="237">
        <v>2.3</v>
      </c>
      <c r="AT55" s="241">
        <v>2.24</v>
      </c>
      <c r="AU55" s="241">
        <v>2.18</v>
      </c>
      <c r="AV55" s="241">
        <v>2.35</v>
      </c>
      <c r="AW55" s="241">
        <v>2.19</v>
      </c>
      <c r="AX55" s="241">
        <v>2.19</v>
      </c>
      <c r="AY55" s="241">
        <v>2.25</v>
      </c>
      <c r="AZ55" s="241">
        <v>2.14</v>
      </c>
      <c r="BA55" s="238">
        <v>2.32</v>
      </c>
      <c r="BB55" s="239">
        <v>2.28</v>
      </c>
      <c r="BC55" s="237">
        <f t="shared" si="35"/>
        <v>3.7652173913043483</v>
      </c>
      <c r="BD55" s="238">
        <f t="shared" si="36"/>
        <v>3.5758928571428568</v>
      </c>
      <c r="BE55" s="238">
        <f t="shared" si="37"/>
        <v>3.5733944954128436</v>
      </c>
      <c r="BF55" s="238">
        <f t="shared" si="38"/>
        <v>3.3234042553191485</v>
      </c>
      <c r="BG55" s="238">
        <f t="shared" si="39"/>
        <v>3.5114155251141557</v>
      </c>
      <c r="BH55" s="238">
        <f t="shared" si="40"/>
        <v>3.6712328767123283</v>
      </c>
      <c r="BI55" s="238">
        <f t="shared" si="41"/>
        <v>3.6355555555555554</v>
      </c>
      <c r="BJ55" s="238">
        <f t="shared" si="42"/>
        <v>3.7897196261682238</v>
      </c>
      <c r="BK55" s="238">
        <f t="shared" si="43"/>
        <v>3.46551724137931</v>
      </c>
      <c r="BL55" s="238">
        <f t="shared" si="44"/>
        <v>3.7324561403508776</v>
      </c>
      <c r="BM55" s="373">
        <v>28.91</v>
      </c>
      <c r="BN55" s="373">
        <v>20.27</v>
      </c>
      <c r="BO55" s="374">
        <f t="shared" si="24"/>
        <v>0.7011414735385679</v>
      </c>
      <c r="BP55" s="373">
        <v>18.490000000000002</v>
      </c>
      <c r="BQ55" s="242">
        <f t="shared" si="13"/>
        <v>0.6395710826703563</v>
      </c>
      <c r="BS55" s="234"/>
    </row>
    <row r="56" spans="1:71" ht="15">
      <c r="A56" s="194">
        <v>1636</v>
      </c>
      <c r="B56" s="244" t="s">
        <v>175</v>
      </c>
      <c r="C56" s="236">
        <v>3</v>
      </c>
      <c r="D56" s="237">
        <v>10.7</v>
      </c>
      <c r="E56" s="238">
        <v>10.34</v>
      </c>
      <c r="F56" s="238">
        <v>10.13</v>
      </c>
      <c r="G56" s="238">
        <v>10.4</v>
      </c>
      <c r="H56" s="238">
        <v>9.05</v>
      </c>
      <c r="I56" s="238">
        <v>10.42</v>
      </c>
      <c r="J56" s="238">
        <v>9.95</v>
      </c>
      <c r="K56" s="238">
        <v>10.62</v>
      </c>
      <c r="L56" s="238">
        <v>11.23</v>
      </c>
      <c r="M56" s="239">
        <v>10.81</v>
      </c>
      <c r="N56" s="237">
        <v>2.65</v>
      </c>
      <c r="O56" s="238">
        <v>2.7</v>
      </c>
      <c r="P56" s="238">
        <v>2.53</v>
      </c>
      <c r="Q56" s="238">
        <v>2.64</v>
      </c>
      <c r="R56" s="238">
        <v>2.5</v>
      </c>
      <c r="S56" s="238">
        <v>2.64</v>
      </c>
      <c r="T56" s="238">
        <v>2.59</v>
      </c>
      <c r="U56" s="238">
        <v>2.71</v>
      </c>
      <c r="V56" s="238">
        <v>2.69</v>
      </c>
      <c r="W56" s="240">
        <v>2.77</v>
      </c>
      <c r="X56" s="237">
        <f t="shared" si="55"/>
        <v>4.037735849056603</v>
      </c>
      <c r="Y56" s="238">
        <f t="shared" si="56"/>
        <v>3.8296296296296295</v>
      </c>
      <c r="Z56" s="238">
        <f t="shared" si="57"/>
        <v>4.003952569169961</v>
      </c>
      <c r="AA56" s="238">
        <f t="shared" si="58"/>
        <v>3.9393939393939394</v>
      </c>
      <c r="AB56" s="238">
        <f t="shared" si="59"/>
        <v>3.62</v>
      </c>
      <c r="AC56" s="238">
        <f t="shared" si="60"/>
        <v>3.946969696969697</v>
      </c>
      <c r="AD56" s="238">
        <f t="shared" si="61"/>
        <v>3.841698841698842</v>
      </c>
      <c r="AE56" s="238">
        <f t="shared" si="62"/>
        <v>3.9188191881918817</v>
      </c>
      <c r="AF56" s="238">
        <f t="shared" si="63"/>
        <v>4.174721189591079</v>
      </c>
      <c r="AG56" s="239">
        <f t="shared" si="64"/>
        <v>3.9025270758122743</v>
      </c>
      <c r="AH56" s="244" t="s">
        <v>175</v>
      </c>
      <c r="AI56" s="237">
        <v>7.63</v>
      </c>
      <c r="AJ56" s="241">
        <v>7.83</v>
      </c>
      <c r="AK56" s="241">
        <v>8.49</v>
      </c>
      <c r="AL56" s="241">
        <v>7.9</v>
      </c>
      <c r="AM56" s="241">
        <v>7.87</v>
      </c>
      <c r="AN56" s="241">
        <v>8.23</v>
      </c>
      <c r="AO56" s="241">
        <v>8.12</v>
      </c>
      <c r="AP56" s="241">
        <v>8.09</v>
      </c>
      <c r="AQ56" s="238">
        <v>7.72</v>
      </c>
      <c r="AR56" s="239">
        <v>7.41</v>
      </c>
      <c r="AS56" s="237">
        <v>2.29</v>
      </c>
      <c r="AT56" s="241">
        <v>2.2</v>
      </c>
      <c r="AU56" s="241">
        <v>2.3</v>
      </c>
      <c r="AV56" s="241">
        <v>2.25</v>
      </c>
      <c r="AW56" s="241">
        <v>2.23</v>
      </c>
      <c r="AX56" s="241">
        <v>2.36</v>
      </c>
      <c r="AY56" s="241">
        <v>2.1</v>
      </c>
      <c r="AZ56" s="241">
        <v>2.24</v>
      </c>
      <c r="BA56" s="238">
        <v>2.16</v>
      </c>
      <c r="BB56" s="239">
        <v>2.3</v>
      </c>
      <c r="BC56" s="237">
        <f t="shared" si="35"/>
        <v>3.331877729257642</v>
      </c>
      <c r="BD56" s="238">
        <f t="shared" si="36"/>
        <v>3.5590909090909086</v>
      </c>
      <c r="BE56" s="238">
        <f t="shared" si="37"/>
        <v>3.691304347826087</v>
      </c>
      <c r="BF56" s="238">
        <f t="shared" si="38"/>
        <v>3.511111111111111</v>
      </c>
      <c r="BG56" s="238">
        <f t="shared" si="39"/>
        <v>3.5291479820627805</v>
      </c>
      <c r="BH56" s="238">
        <f t="shared" si="40"/>
        <v>3.4872881355932206</v>
      </c>
      <c r="BI56" s="238">
        <f t="shared" si="41"/>
        <v>3.8666666666666663</v>
      </c>
      <c r="BJ56" s="238">
        <f t="shared" si="42"/>
        <v>3.6116071428571423</v>
      </c>
      <c r="BK56" s="238">
        <f t="shared" si="43"/>
        <v>3.5740740740740735</v>
      </c>
      <c r="BL56" s="238">
        <f t="shared" si="44"/>
        <v>3.221739130434783</v>
      </c>
      <c r="BM56" s="373">
        <f>2*13.14</f>
        <v>26.28</v>
      </c>
      <c r="BN56" s="373">
        <f>2*8.96</f>
        <v>17.92</v>
      </c>
      <c r="BO56" s="374">
        <f t="shared" si="24"/>
        <v>0.6818873668188737</v>
      </c>
      <c r="BP56" s="373">
        <f>2*7.45</f>
        <v>14.9</v>
      </c>
      <c r="BQ56" s="242">
        <f t="shared" si="13"/>
        <v>0.5669710806697108</v>
      </c>
      <c r="BS56" s="234"/>
    </row>
    <row r="57" spans="1:71" ht="15">
      <c r="A57" s="194">
        <v>1638</v>
      </c>
      <c r="B57" s="244" t="s">
        <v>176</v>
      </c>
      <c r="C57" s="236">
        <v>3</v>
      </c>
      <c r="D57" s="237">
        <v>10.12</v>
      </c>
      <c r="E57" s="238">
        <v>10.73</v>
      </c>
      <c r="F57" s="238">
        <v>10.82</v>
      </c>
      <c r="G57" s="238">
        <v>9.29</v>
      </c>
      <c r="H57" s="238">
        <v>10.56</v>
      </c>
      <c r="I57" s="238">
        <v>10.53</v>
      </c>
      <c r="J57" s="238">
        <v>9.45</v>
      </c>
      <c r="K57" s="238">
        <v>10.57</v>
      </c>
      <c r="L57" s="238">
        <v>11.19</v>
      </c>
      <c r="M57" s="239">
        <v>9.91</v>
      </c>
      <c r="N57" s="237">
        <v>2.64</v>
      </c>
      <c r="O57" s="238">
        <v>3.11</v>
      </c>
      <c r="P57" s="238">
        <v>2.79</v>
      </c>
      <c r="Q57" s="238">
        <v>2.72</v>
      </c>
      <c r="R57" s="238">
        <v>2.84</v>
      </c>
      <c r="S57" s="238">
        <v>2.45</v>
      </c>
      <c r="T57" s="238">
        <v>2.36</v>
      </c>
      <c r="U57" s="238">
        <v>2.56</v>
      </c>
      <c r="V57" s="238">
        <v>2.69</v>
      </c>
      <c r="W57" s="240">
        <v>2.57</v>
      </c>
      <c r="X57" s="237">
        <f t="shared" si="55"/>
        <v>3.833333333333333</v>
      </c>
      <c r="Y57" s="238">
        <f t="shared" si="56"/>
        <v>3.4501607717041805</v>
      </c>
      <c r="Z57" s="238">
        <f t="shared" si="57"/>
        <v>3.878136200716846</v>
      </c>
      <c r="AA57" s="238">
        <f t="shared" si="58"/>
        <v>3.415441176470588</v>
      </c>
      <c r="AB57" s="238">
        <f t="shared" si="59"/>
        <v>3.71830985915493</v>
      </c>
      <c r="AC57" s="238">
        <f t="shared" si="60"/>
        <v>4.297959183673469</v>
      </c>
      <c r="AD57" s="238">
        <f t="shared" si="61"/>
        <v>4.004237288135593</v>
      </c>
      <c r="AE57" s="238">
        <f t="shared" si="62"/>
        <v>4.12890625</v>
      </c>
      <c r="AF57" s="238">
        <f t="shared" si="63"/>
        <v>4.159851301115242</v>
      </c>
      <c r="AG57" s="239">
        <f t="shared" si="64"/>
        <v>3.8560311284046698</v>
      </c>
      <c r="AH57" s="244" t="s">
        <v>176</v>
      </c>
      <c r="AI57" s="237">
        <v>7.57</v>
      </c>
      <c r="AJ57" s="241">
        <v>7.68</v>
      </c>
      <c r="AK57" s="241">
        <v>7.71</v>
      </c>
      <c r="AL57" s="241">
        <v>7.99</v>
      </c>
      <c r="AM57" s="241">
        <v>7.42</v>
      </c>
      <c r="AN57" s="241">
        <v>7.8</v>
      </c>
      <c r="AO57" s="241">
        <v>7.63</v>
      </c>
      <c r="AP57" s="241">
        <v>7.12</v>
      </c>
      <c r="AQ57" s="238">
        <v>7.57</v>
      </c>
      <c r="AR57" s="239">
        <v>7.83</v>
      </c>
      <c r="AS57" s="237">
        <v>2.15</v>
      </c>
      <c r="AT57" s="241">
        <v>2</v>
      </c>
      <c r="AU57" s="241">
        <v>1.99</v>
      </c>
      <c r="AV57" s="241">
        <v>2.17</v>
      </c>
      <c r="AW57" s="241">
        <v>2.18</v>
      </c>
      <c r="AX57" s="241">
        <v>2.06</v>
      </c>
      <c r="AY57" s="241">
        <v>2.24</v>
      </c>
      <c r="AZ57" s="241">
        <v>2.12</v>
      </c>
      <c r="BA57" s="238">
        <v>2.16</v>
      </c>
      <c r="BB57" s="239">
        <v>2.15</v>
      </c>
      <c r="BC57" s="237">
        <f t="shared" si="35"/>
        <v>3.5209302325581397</v>
      </c>
      <c r="BD57" s="238">
        <f t="shared" si="36"/>
        <v>3.84</v>
      </c>
      <c r="BE57" s="238">
        <f t="shared" si="37"/>
        <v>3.8743718592964824</v>
      </c>
      <c r="BF57" s="238">
        <f t="shared" si="38"/>
        <v>3.6820276497695854</v>
      </c>
      <c r="BG57" s="238">
        <f t="shared" si="39"/>
        <v>3.403669724770642</v>
      </c>
      <c r="BH57" s="238">
        <f t="shared" si="40"/>
        <v>3.786407766990291</v>
      </c>
      <c r="BI57" s="238">
        <f t="shared" si="41"/>
        <v>3.4062499999999996</v>
      </c>
      <c r="BJ57" s="238">
        <f t="shared" si="42"/>
        <v>3.3584905660377355</v>
      </c>
      <c r="BK57" s="238">
        <f t="shared" si="43"/>
        <v>3.5046296296296293</v>
      </c>
      <c r="BL57" s="238">
        <f t="shared" si="44"/>
        <v>3.641860465116279</v>
      </c>
      <c r="BM57" s="373">
        <v>23.64</v>
      </c>
      <c r="BN57" s="373">
        <v>15.93</v>
      </c>
      <c r="BO57" s="374">
        <f t="shared" si="24"/>
        <v>0.6738578680203046</v>
      </c>
      <c r="BP57" s="373">
        <v>11.64</v>
      </c>
      <c r="BQ57" s="242">
        <f t="shared" si="13"/>
        <v>0.4923857868020305</v>
      </c>
      <c r="BS57" s="234"/>
    </row>
    <row r="58" spans="1:71" ht="15">
      <c r="A58" s="194">
        <v>1639</v>
      </c>
      <c r="B58" s="244" t="s">
        <v>177</v>
      </c>
      <c r="C58" s="236">
        <v>1</v>
      </c>
      <c r="D58" s="237">
        <v>9.5</v>
      </c>
      <c r="E58" s="238">
        <v>10.71</v>
      </c>
      <c r="F58" s="238">
        <v>10.03</v>
      </c>
      <c r="G58" s="238">
        <v>9.47</v>
      </c>
      <c r="H58" s="238">
        <v>11.22</v>
      </c>
      <c r="I58" s="238">
        <v>11.12</v>
      </c>
      <c r="J58" s="238">
        <v>10</v>
      </c>
      <c r="K58" s="238">
        <v>10.29</v>
      </c>
      <c r="L58" s="238">
        <v>10.76</v>
      </c>
      <c r="M58" s="239">
        <v>11.18</v>
      </c>
      <c r="N58" s="237">
        <v>2.5</v>
      </c>
      <c r="O58" s="238">
        <v>2.56</v>
      </c>
      <c r="P58" s="238">
        <v>2.54</v>
      </c>
      <c r="Q58" s="238">
        <v>2.65</v>
      </c>
      <c r="R58" s="238">
        <v>2.7</v>
      </c>
      <c r="S58" s="238">
        <v>2.67</v>
      </c>
      <c r="T58" s="238">
        <v>2.61</v>
      </c>
      <c r="U58" s="238">
        <v>2.93</v>
      </c>
      <c r="V58" s="238">
        <v>2.7</v>
      </c>
      <c r="W58" s="240">
        <v>2.69</v>
      </c>
      <c r="X58" s="237">
        <f t="shared" si="55"/>
        <v>3.8</v>
      </c>
      <c r="Y58" s="238">
        <f t="shared" si="56"/>
        <v>4.18359375</v>
      </c>
      <c r="Z58" s="238">
        <f t="shared" si="57"/>
        <v>3.948818897637795</v>
      </c>
      <c r="AA58" s="238">
        <f t="shared" si="58"/>
        <v>3.5735849056603777</v>
      </c>
      <c r="AB58" s="238">
        <f t="shared" si="59"/>
        <v>4.155555555555556</v>
      </c>
      <c r="AC58" s="238">
        <f t="shared" si="60"/>
        <v>4.164794007490636</v>
      </c>
      <c r="AD58" s="238">
        <f t="shared" si="61"/>
        <v>3.831417624521073</v>
      </c>
      <c r="AE58" s="238">
        <f t="shared" si="62"/>
        <v>3.511945392491467</v>
      </c>
      <c r="AF58" s="238">
        <f t="shared" si="63"/>
        <v>3.985185185185185</v>
      </c>
      <c r="AG58" s="239">
        <f t="shared" si="64"/>
        <v>4.156133828996283</v>
      </c>
      <c r="AH58" s="244" t="s">
        <v>177</v>
      </c>
      <c r="AI58" s="237">
        <v>7.75</v>
      </c>
      <c r="AJ58" s="241">
        <v>7.66</v>
      </c>
      <c r="AK58" s="241">
        <v>6.79</v>
      </c>
      <c r="AL58" s="241">
        <v>7.75</v>
      </c>
      <c r="AM58" s="241">
        <v>7.5</v>
      </c>
      <c r="AN58" s="241">
        <v>8.04</v>
      </c>
      <c r="AO58" s="241">
        <v>8.07</v>
      </c>
      <c r="AP58" s="241">
        <v>7.61</v>
      </c>
      <c r="AQ58" s="238">
        <v>7.71</v>
      </c>
      <c r="AR58" s="239">
        <v>7.89</v>
      </c>
      <c r="AS58" s="237">
        <v>2.21</v>
      </c>
      <c r="AT58" s="241">
        <v>2.16</v>
      </c>
      <c r="AU58" s="241">
        <v>2.1</v>
      </c>
      <c r="AV58" s="241">
        <v>2.28</v>
      </c>
      <c r="AW58" s="241">
        <v>2.24</v>
      </c>
      <c r="AX58" s="241">
        <v>2.33</v>
      </c>
      <c r="AY58" s="241">
        <v>2.17</v>
      </c>
      <c r="AZ58" s="241">
        <v>2.19</v>
      </c>
      <c r="BA58" s="238">
        <v>2.23</v>
      </c>
      <c r="BB58" s="239">
        <v>2.2</v>
      </c>
      <c r="BC58" s="237">
        <f t="shared" si="35"/>
        <v>3.506787330316742</v>
      </c>
      <c r="BD58" s="238">
        <f t="shared" si="36"/>
        <v>3.5462962962962963</v>
      </c>
      <c r="BE58" s="238">
        <f t="shared" si="37"/>
        <v>3.2333333333333334</v>
      </c>
      <c r="BF58" s="238">
        <f t="shared" si="38"/>
        <v>3.399122807017544</v>
      </c>
      <c r="BG58" s="238">
        <f t="shared" si="39"/>
        <v>3.3482142857142856</v>
      </c>
      <c r="BH58" s="238">
        <f t="shared" si="40"/>
        <v>3.450643776824034</v>
      </c>
      <c r="BI58" s="238">
        <f t="shared" si="41"/>
        <v>3.7188940092165903</v>
      </c>
      <c r="BJ58" s="238">
        <f t="shared" si="42"/>
        <v>3.474885844748859</v>
      </c>
      <c r="BK58" s="238">
        <f t="shared" si="43"/>
        <v>3.4573991031390134</v>
      </c>
      <c r="BL58" s="238">
        <f t="shared" si="44"/>
        <v>3.586363636363636</v>
      </c>
      <c r="BM58" s="373">
        <v>28.48</v>
      </c>
      <c r="BN58" s="373">
        <v>20.62</v>
      </c>
      <c r="BO58" s="374">
        <f t="shared" si="24"/>
        <v>0.7240168539325843</v>
      </c>
      <c r="BP58" s="373">
        <v>19.580000000000002</v>
      </c>
      <c r="BQ58" s="242">
        <f t="shared" si="13"/>
        <v>0.6875</v>
      </c>
      <c r="BS58" s="234"/>
    </row>
    <row r="59" spans="1:71" ht="15">
      <c r="A59" s="194">
        <v>1640</v>
      </c>
      <c r="B59" s="244" t="s">
        <v>178</v>
      </c>
      <c r="C59" s="236">
        <v>1</v>
      </c>
      <c r="D59" s="237">
        <v>9.24</v>
      </c>
      <c r="E59" s="238">
        <v>9.77</v>
      </c>
      <c r="F59" s="238">
        <v>8.7</v>
      </c>
      <c r="G59" s="238">
        <v>10.59</v>
      </c>
      <c r="H59" s="238">
        <v>9.68</v>
      </c>
      <c r="I59" s="238">
        <v>8.82</v>
      </c>
      <c r="J59" s="238">
        <v>9.07</v>
      </c>
      <c r="K59" s="238">
        <v>9.24</v>
      </c>
      <c r="L59" s="238">
        <v>10.64</v>
      </c>
      <c r="M59" s="239">
        <v>10.04</v>
      </c>
      <c r="N59" s="237">
        <v>2.68</v>
      </c>
      <c r="O59" s="238">
        <v>2.54</v>
      </c>
      <c r="P59" s="238">
        <v>2.59</v>
      </c>
      <c r="Q59" s="238">
        <v>2.87</v>
      </c>
      <c r="R59" s="238">
        <v>2.84</v>
      </c>
      <c r="S59" s="238">
        <v>2.57</v>
      </c>
      <c r="T59" s="238">
        <v>2.68</v>
      </c>
      <c r="U59" s="238">
        <v>2.86</v>
      </c>
      <c r="V59" s="238">
        <v>2.59</v>
      </c>
      <c r="W59" s="240">
        <v>2.53</v>
      </c>
      <c r="X59" s="237">
        <f t="shared" si="55"/>
        <v>3.4477611940298507</v>
      </c>
      <c r="Y59" s="238">
        <f t="shared" si="56"/>
        <v>3.8464566929133857</v>
      </c>
      <c r="Z59" s="238">
        <f t="shared" si="57"/>
        <v>3.359073359073359</v>
      </c>
      <c r="AA59" s="238">
        <f t="shared" si="58"/>
        <v>3.689895470383275</v>
      </c>
      <c r="AB59" s="238">
        <f t="shared" si="59"/>
        <v>3.408450704225352</v>
      </c>
      <c r="AC59" s="238">
        <f t="shared" si="60"/>
        <v>3.4319066147859925</v>
      </c>
      <c r="AD59" s="238">
        <f t="shared" si="61"/>
        <v>3.384328358208955</v>
      </c>
      <c r="AE59" s="238">
        <f t="shared" si="62"/>
        <v>3.230769230769231</v>
      </c>
      <c r="AF59" s="238">
        <f t="shared" si="63"/>
        <v>4.108108108108109</v>
      </c>
      <c r="AG59" s="239">
        <f t="shared" si="64"/>
        <v>3.9683794466403164</v>
      </c>
      <c r="AH59" s="244" t="s">
        <v>178</v>
      </c>
      <c r="AI59" s="237">
        <v>7.25</v>
      </c>
      <c r="AJ59" s="241">
        <v>6.62</v>
      </c>
      <c r="AK59" s="241">
        <v>6.67</v>
      </c>
      <c r="AL59" s="241">
        <v>7.39</v>
      </c>
      <c r="AM59" s="241">
        <v>7.25</v>
      </c>
      <c r="AN59" s="241">
        <v>7.45</v>
      </c>
      <c r="AO59" s="241">
        <v>6.87</v>
      </c>
      <c r="AP59" s="241">
        <v>7.33</v>
      </c>
      <c r="AQ59" s="238">
        <v>6.92</v>
      </c>
      <c r="AR59" s="239">
        <v>7.3</v>
      </c>
      <c r="AS59" s="237">
        <v>2.15</v>
      </c>
      <c r="AT59" s="241">
        <v>2.12</v>
      </c>
      <c r="AU59" s="241">
        <v>2.11</v>
      </c>
      <c r="AV59" s="241">
        <v>2.2</v>
      </c>
      <c r="AW59" s="241">
        <v>2.19</v>
      </c>
      <c r="AX59" s="241">
        <v>2.17</v>
      </c>
      <c r="AY59" s="241">
        <v>2.13</v>
      </c>
      <c r="AZ59" s="241">
        <v>2.2</v>
      </c>
      <c r="BA59" s="238">
        <v>2.31</v>
      </c>
      <c r="BB59" s="239">
        <v>2.28</v>
      </c>
      <c r="BC59" s="237">
        <f t="shared" si="35"/>
        <v>3.372093023255814</v>
      </c>
      <c r="BD59" s="238">
        <f t="shared" si="36"/>
        <v>3.1226415094339623</v>
      </c>
      <c r="BE59" s="238">
        <f t="shared" si="37"/>
        <v>3.161137440758294</v>
      </c>
      <c r="BF59" s="238">
        <f t="shared" si="38"/>
        <v>3.3590909090909085</v>
      </c>
      <c r="BG59" s="238">
        <f t="shared" si="39"/>
        <v>3.310502283105023</v>
      </c>
      <c r="BH59" s="238">
        <f t="shared" si="40"/>
        <v>3.4331797235023043</v>
      </c>
      <c r="BI59" s="238">
        <f t="shared" si="41"/>
        <v>3.2253521126760565</v>
      </c>
      <c r="BJ59" s="238">
        <f t="shared" si="42"/>
        <v>3.3318181818181816</v>
      </c>
      <c r="BK59" s="238">
        <f t="shared" si="43"/>
        <v>2.9956709956709955</v>
      </c>
      <c r="BL59" s="238">
        <f t="shared" si="44"/>
        <v>3.2017543859649127</v>
      </c>
      <c r="BM59" s="373">
        <v>23.56</v>
      </c>
      <c r="BN59" s="373">
        <v>17.12</v>
      </c>
      <c r="BO59" s="374">
        <f t="shared" si="24"/>
        <v>0.7266553480475383</v>
      </c>
      <c r="BP59" s="373">
        <v>15.64</v>
      </c>
      <c r="BQ59" s="242">
        <f t="shared" si="13"/>
        <v>0.6638370118845501</v>
      </c>
      <c r="BS59" s="234"/>
    </row>
    <row r="60" spans="1:71" ht="15">
      <c r="A60" s="194">
        <v>1642</v>
      </c>
      <c r="B60" s="244" t="s">
        <v>179</v>
      </c>
      <c r="C60" s="236">
        <v>1</v>
      </c>
      <c r="D60" s="237">
        <v>8.95</v>
      </c>
      <c r="E60" s="238">
        <v>9.43</v>
      </c>
      <c r="F60" s="238">
        <v>8.95</v>
      </c>
      <c r="G60" s="238">
        <v>9.21</v>
      </c>
      <c r="H60" s="238">
        <v>8.88</v>
      </c>
      <c r="I60" s="238">
        <v>9.6</v>
      </c>
      <c r="J60" s="238">
        <v>9.71</v>
      </c>
      <c r="K60" s="238">
        <v>9.4</v>
      </c>
      <c r="L60" s="238">
        <v>8.24</v>
      </c>
      <c r="M60" s="239">
        <v>8.72</v>
      </c>
      <c r="N60" s="237">
        <v>2.11</v>
      </c>
      <c r="O60" s="238">
        <v>2.48</v>
      </c>
      <c r="P60" s="238">
        <v>2.26</v>
      </c>
      <c r="Q60" s="238">
        <v>2.46</v>
      </c>
      <c r="R60" s="238">
        <v>2.48</v>
      </c>
      <c r="S60" s="238">
        <v>2.33</v>
      </c>
      <c r="T60" s="238">
        <v>2.44</v>
      </c>
      <c r="U60" s="238">
        <v>2.32</v>
      </c>
      <c r="V60" s="238">
        <v>2.31</v>
      </c>
      <c r="W60" s="240">
        <v>2.34</v>
      </c>
      <c r="X60" s="237">
        <f t="shared" si="55"/>
        <v>4.241706161137441</v>
      </c>
      <c r="Y60" s="238">
        <f t="shared" si="56"/>
        <v>3.8024193548387095</v>
      </c>
      <c r="Z60" s="238">
        <f t="shared" si="57"/>
        <v>3.9601769911504427</v>
      </c>
      <c r="AA60" s="238">
        <f t="shared" si="58"/>
        <v>3.7439024390243905</v>
      </c>
      <c r="AB60" s="238">
        <f t="shared" si="59"/>
        <v>3.580645161290323</v>
      </c>
      <c r="AC60" s="238">
        <f t="shared" si="60"/>
        <v>4.120171673819742</v>
      </c>
      <c r="AD60" s="238">
        <f t="shared" si="61"/>
        <v>3.9795081967213117</v>
      </c>
      <c r="AE60" s="238">
        <f t="shared" si="62"/>
        <v>4.051724137931035</v>
      </c>
      <c r="AF60" s="238">
        <f t="shared" si="63"/>
        <v>3.567099567099567</v>
      </c>
      <c r="AG60" s="239">
        <f t="shared" si="64"/>
        <v>3.726495726495727</v>
      </c>
      <c r="AH60" s="244" t="s">
        <v>179</v>
      </c>
      <c r="AI60" s="237">
        <v>7.03</v>
      </c>
      <c r="AJ60" s="241">
        <v>7.06</v>
      </c>
      <c r="AK60" s="241">
        <v>7.18</v>
      </c>
      <c r="AL60" s="241">
        <v>6.55</v>
      </c>
      <c r="AM60" s="241">
        <v>6.97</v>
      </c>
      <c r="AN60" s="241">
        <v>6.53</v>
      </c>
      <c r="AO60" s="241">
        <v>6.83</v>
      </c>
      <c r="AP60" s="241">
        <v>7.16</v>
      </c>
      <c r="AQ60" s="238">
        <v>7.18</v>
      </c>
      <c r="AR60" s="239">
        <v>7.21</v>
      </c>
      <c r="AS60" s="237">
        <v>2.13</v>
      </c>
      <c r="AT60" s="241">
        <v>2.05</v>
      </c>
      <c r="AU60" s="241">
        <v>2.21</v>
      </c>
      <c r="AV60" s="241">
        <v>2.04</v>
      </c>
      <c r="AW60" s="241">
        <v>2.08</v>
      </c>
      <c r="AX60" s="241">
        <v>2.04</v>
      </c>
      <c r="AY60" s="241">
        <v>2.04</v>
      </c>
      <c r="AZ60" s="241">
        <v>2.13</v>
      </c>
      <c r="BA60" s="238">
        <v>2.12</v>
      </c>
      <c r="BB60" s="239">
        <v>2.13</v>
      </c>
      <c r="BC60" s="237">
        <f t="shared" si="35"/>
        <v>3.3004694835680755</v>
      </c>
      <c r="BD60" s="238">
        <f t="shared" si="36"/>
        <v>3.44390243902439</v>
      </c>
      <c r="BE60" s="238">
        <f t="shared" si="37"/>
        <v>3.248868778280543</v>
      </c>
      <c r="BF60" s="238">
        <f t="shared" si="38"/>
        <v>3.21078431372549</v>
      </c>
      <c r="BG60" s="238">
        <f t="shared" si="39"/>
        <v>3.3509615384615383</v>
      </c>
      <c r="BH60" s="238">
        <f t="shared" si="40"/>
        <v>3.200980392156863</v>
      </c>
      <c r="BI60" s="238">
        <f t="shared" si="41"/>
        <v>3.3480392156862746</v>
      </c>
      <c r="BJ60" s="238">
        <f t="shared" si="42"/>
        <v>3.3615023474178405</v>
      </c>
      <c r="BK60" s="238">
        <f t="shared" si="43"/>
        <v>3.3867924528301883</v>
      </c>
      <c r="BL60" s="238">
        <f t="shared" si="44"/>
        <v>3.3849765258215965</v>
      </c>
      <c r="BM60" s="373">
        <v>20.51</v>
      </c>
      <c r="BN60" s="373">
        <v>14.84</v>
      </c>
      <c r="BO60" s="374">
        <f t="shared" si="24"/>
        <v>0.7235494880546074</v>
      </c>
      <c r="BP60" s="373">
        <v>12.5</v>
      </c>
      <c r="BQ60" s="242">
        <f t="shared" si="13"/>
        <v>0.6094588005850804</v>
      </c>
      <c r="BS60" s="234"/>
    </row>
    <row r="61" spans="1:71" ht="15">
      <c r="A61" s="194">
        <v>1643</v>
      </c>
      <c r="B61" s="246" t="s">
        <v>180</v>
      </c>
      <c r="C61" s="236">
        <v>3</v>
      </c>
      <c r="D61" s="237">
        <v>9.03</v>
      </c>
      <c r="E61" s="238">
        <v>8.86</v>
      </c>
      <c r="F61" s="238">
        <v>9</v>
      </c>
      <c r="G61" s="238">
        <v>8.72</v>
      </c>
      <c r="H61" s="238">
        <v>9.36</v>
      </c>
      <c r="I61" s="238">
        <v>8.44</v>
      </c>
      <c r="J61" s="238">
        <v>8.77</v>
      </c>
      <c r="K61" s="238">
        <v>8.68</v>
      </c>
      <c r="L61" s="238">
        <v>10.06</v>
      </c>
      <c r="M61" s="239">
        <v>8.97</v>
      </c>
      <c r="N61" s="237">
        <v>2.83</v>
      </c>
      <c r="O61" s="238">
        <v>3.4</v>
      </c>
      <c r="P61" s="238">
        <v>3.11</v>
      </c>
      <c r="Q61" s="238">
        <v>2.88</v>
      </c>
      <c r="R61" s="238">
        <v>3.25</v>
      </c>
      <c r="S61" s="238">
        <v>2.82</v>
      </c>
      <c r="T61" s="238">
        <v>2.75</v>
      </c>
      <c r="U61" s="238">
        <v>3.18</v>
      </c>
      <c r="V61" s="238">
        <v>3.23</v>
      </c>
      <c r="W61" s="240">
        <v>3.03</v>
      </c>
      <c r="X61" s="237">
        <f t="shared" si="55"/>
        <v>3.190812720848056</v>
      </c>
      <c r="Y61" s="238">
        <f t="shared" si="56"/>
        <v>2.6058823529411765</v>
      </c>
      <c r="Z61" s="238">
        <f t="shared" si="57"/>
        <v>2.8938906752411575</v>
      </c>
      <c r="AA61" s="238">
        <f t="shared" si="58"/>
        <v>3.027777777777778</v>
      </c>
      <c r="AB61" s="238">
        <f t="shared" si="59"/>
        <v>2.88</v>
      </c>
      <c r="AC61" s="238">
        <f t="shared" si="60"/>
        <v>2.99290780141844</v>
      </c>
      <c r="AD61" s="238">
        <f t="shared" si="61"/>
        <v>3.189090909090909</v>
      </c>
      <c r="AE61" s="238">
        <f t="shared" si="62"/>
        <v>2.729559748427673</v>
      </c>
      <c r="AF61" s="238">
        <f t="shared" si="63"/>
        <v>3.1145510835913313</v>
      </c>
      <c r="AG61" s="239">
        <f t="shared" si="64"/>
        <v>2.960396039603961</v>
      </c>
      <c r="AH61" s="246" t="s">
        <v>180</v>
      </c>
      <c r="AI61" s="237">
        <v>6.54</v>
      </c>
      <c r="AJ61" s="241">
        <v>6.57</v>
      </c>
      <c r="AK61" s="241">
        <v>6.49</v>
      </c>
      <c r="AL61" s="241">
        <v>6.56</v>
      </c>
      <c r="AM61" s="241">
        <v>6.1</v>
      </c>
      <c r="AN61" s="241">
        <v>6.6</v>
      </c>
      <c r="AO61" s="241">
        <v>6.56</v>
      </c>
      <c r="AP61" s="241">
        <v>6.57</v>
      </c>
      <c r="AQ61" s="238">
        <v>6.42</v>
      </c>
      <c r="AR61" s="239">
        <v>6.76</v>
      </c>
      <c r="AS61" s="237">
        <v>2.53</v>
      </c>
      <c r="AT61" s="241">
        <v>2.6</v>
      </c>
      <c r="AU61" s="241">
        <v>2.78</v>
      </c>
      <c r="AV61" s="241">
        <v>2.75</v>
      </c>
      <c r="AW61" s="241">
        <v>2.54</v>
      </c>
      <c r="AX61" s="241">
        <v>2.68</v>
      </c>
      <c r="AY61" s="241">
        <v>2.7</v>
      </c>
      <c r="AZ61" s="241">
        <v>2.62</v>
      </c>
      <c r="BA61" s="238">
        <v>2.76</v>
      </c>
      <c r="BB61" s="239">
        <v>2.77</v>
      </c>
      <c r="BC61" s="237">
        <f t="shared" si="35"/>
        <v>2.5849802371541504</v>
      </c>
      <c r="BD61" s="238">
        <f t="shared" si="36"/>
        <v>2.526923076923077</v>
      </c>
      <c r="BE61" s="238">
        <f t="shared" si="37"/>
        <v>2.3345323741007196</v>
      </c>
      <c r="BF61" s="238">
        <f t="shared" si="38"/>
        <v>2.3854545454545453</v>
      </c>
      <c r="BG61" s="238">
        <f t="shared" si="39"/>
        <v>2.401574803149606</v>
      </c>
      <c r="BH61" s="238">
        <f t="shared" si="40"/>
        <v>2.462686567164179</v>
      </c>
      <c r="BI61" s="238">
        <f t="shared" si="41"/>
        <v>2.429629629629629</v>
      </c>
      <c r="BJ61" s="238">
        <f t="shared" si="42"/>
        <v>2.5076335877862594</v>
      </c>
      <c r="BK61" s="238">
        <f t="shared" si="43"/>
        <v>2.3260869565217392</v>
      </c>
      <c r="BL61" s="238">
        <f t="shared" si="44"/>
        <v>2.44043321299639</v>
      </c>
      <c r="BM61" s="373">
        <v>29.43</v>
      </c>
      <c r="BN61" s="373">
        <v>20.96</v>
      </c>
      <c r="BO61" s="374">
        <f t="shared" si="24"/>
        <v>0.7121984369690793</v>
      </c>
      <c r="BP61" s="373">
        <v>20.4</v>
      </c>
      <c r="BQ61" s="242">
        <f t="shared" si="13"/>
        <v>0.6931702344546381</v>
      </c>
      <c r="BS61" s="234"/>
    </row>
    <row r="62" spans="1:71" ht="15">
      <c r="A62" s="194">
        <v>1644</v>
      </c>
      <c r="B62" s="244" t="s">
        <v>181</v>
      </c>
      <c r="C62" s="236">
        <v>3</v>
      </c>
      <c r="D62" s="237">
        <v>8.2</v>
      </c>
      <c r="E62" s="238">
        <v>8.49</v>
      </c>
      <c r="F62" s="238">
        <v>8.45</v>
      </c>
      <c r="G62" s="238">
        <v>8.43</v>
      </c>
      <c r="H62" s="238">
        <v>8.58</v>
      </c>
      <c r="I62" s="238">
        <v>8.06</v>
      </c>
      <c r="J62" s="238">
        <v>8.34</v>
      </c>
      <c r="K62" s="238">
        <v>8.76</v>
      </c>
      <c r="L62" s="238">
        <v>8.47</v>
      </c>
      <c r="M62" s="239">
        <v>8.09</v>
      </c>
      <c r="N62" s="237">
        <v>3.01</v>
      </c>
      <c r="O62" s="238">
        <v>3.11</v>
      </c>
      <c r="P62" s="238">
        <v>2.93</v>
      </c>
      <c r="Q62" s="238">
        <v>3.19</v>
      </c>
      <c r="R62" s="238">
        <v>3.24</v>
      </c>
      <c r="S62" s="238">
        <v>3.12</v>
      </c>
      <c r="T62" s="238">
        <v>3.15</v>
      </c>
      <c r="U62" s="238">
        <v>3.19</v>
      </c>
      <c r="V62" s="238">
        <v>3.26</v>
      </c>
      <c r="W62" s="240">
        <v>2.99</v>
      </c>
      <c r="X62" s="237">
        <f t="shared" si="55"/>
        <v>2.7242524916943522</v>
      </c>
      <c r="Y62" s="238">
        <f t="shared" si="56"/>
        <v>2.729903536977492</v>
      </c>
      <c r="Z62" s="238">
        <f t="shared" si="57"/>
        <v>2.8839590443686003</v>
      </c>
      <c r="AA62" s="238">
        <f t="shared" si="58"/>
        <v>2.6426332288401255</v>
      </c>
      <c r="AB62" s="238">
        <f t="shared" si="59"/>
        <v>2.648148148148148</v>
      </c>
      <c r="AC62" s="238">
        <f t="shared" si="60"/>
        <v>2.5833333333333335</v>
      </c>
      <c r="AD62" s="238">
        <f t="shared" si="61"/>
        <v>2.6476190476190475</v>
      </c>
      <c r="AE62" s="238">
        <f t="shared" si="62"/>
        <v>2.7460815047021945</v>
      </c>
      <c r="AF62" s="238">
        <f t="shared" si="63"/>
        <v>2.5981595092024543</v>
      </c>
      <c r="AG62" s="239">
        <f t="shared" si="64"/>
        <v>2.7056856187290967</v>
      </c>
      <c r="AH62" s="244" t="s">
        <v>181</v>
      </c>
      <c r="AI62" s="237">
        <v>6.32</v>
      </c>
      <c r="AJ62" s="241">
        <v>6.35</v>
      </c>
      <c r="AK62" s="241">
        <v>5.72</v>
      </c>
      <c r="AL62" s="241">
        <v>5.93</v>
      </c>
      <c r="AM62" s="241">
        <v>4.23</v>
      </c>
      <c r="AN62" s="241">
        <v>6.08</v>
      </c>
      <c r="AO62" s="241">
        <v>5.65</v>
      </c>
      <c r="AP62" s="241">
        <v>6.46</v>
      </c>
      <c r="AQ62" s="238">
        <v>5.98</v>
      </c>
      <c r="AR62" s="239">
        <v>5.86</v>
      </c>
      <c r="AS62" s="237">
        <v>2.75</v>
      </c>
      <c r="AT62" s="241">
        <v>2.85</v>
      </c>
      <c r="AU62" s="241">
        <v>2.79</v>
      </c>
      <c r="AV62" s="241">
        <v>2.59</v>
      </c>
      <c r="AW62" s="241">
        <v>2.81</v>
      </c>
      <c r="AX62" s="241">
        <v>2.75</v>
      </c>
      <c r="AY62" s="241">
        <v>2.63</v>
      </c>
      <c r="AZ62" s="241">
        <v>2.71</v>
      </c>
      <c r="BA62" s="238">
        <v>2.73</v>
      </c>
      <c r="BB62" s="239">
        <v>2.76</v>
      </c>
      <c r="BC62" s="237">
        <f t="shared" si="35"/>
        <v>2.2981818181818183</v>
      </c>
      <c r="BD62" s="238">
        <f t="shared" si="36"/>
        <v>2.2280701754385963</v>
      </c>
      <c r="BE62" s="238">
        <f t="shared" si="37"/>
        <v>2.050179211469534</v>
      </c>
      <c r="BF62" s="238">
        <f t="shared" si="38"/>
        <v>2.2895752895752897</v>
      </c>
      <c r="BG62" s="238">
        <f t="shared" si="39"/>
        <v>1.505338078291815</v>
      </c>
      <c r="BH62" s="238">
        <f t="shared" si="40"/>
        <v>2.210909090909091</v>
      </c>
      <c r="BI62" s="238">
        <f t="shared" si="41"/>
        <v>2.1482889733840307</v>
      </c>
      <c r="BJ62" s="238">
        <f t="shared" si="42"/>
        <v>2.3837638376383765</v>
      </c>
      <c r="BK62" s="238">
        <f t="shared" si="43"/>
        <v>2.1904761904761907</v>
      </c>
      <c r="BL62" s="238">
        <f t="shared" si="44"/>
        <v>2.1231884057971016</v>
      </c>
      <c r="BM62" s="373">
        <v>26.06</v>
      </c>
      <c r="BN62" s="373">
        <v>18.71</v>
      </c>
      <c r="BO62" s="374">
        <f t="shared" si="24"/>
        <v>0.7179585571757483</v>
      </c>
      <c r="BP62" s="373">
        <v>18.47</v>
      </c>
      <c r="BQ62" s="242">
        <f t="shared" si="13"/>
        <v>0.7087490406753645</v>
      </c>
      <c r="BS62" s="234"/>
    </row>
    <row r="63" spans="1:71" ht="15">
      <c r="A63" s="194">
        <v>1645</v>
      </c>
      <c r="B63" s="244" t="s">
        <v>182</v>
      </c>
      <c r="C63" s="236">
        <v>3</v>
      </c>
      <c r="D63" s="237">
        <v>7.01</v>
      </c>
      <c r="E63" s="238">
        <v>7.56</v>
      </c>
      <c r="F63" s="238">
        <v>7.67</v>
      </c>
      <c r="G63" s="238">
        <v>7.59</v>
      </c>
      <c r="H63" s="238">
        <v>7.71</v>
      </c>
      <c r="I63" s="238">
        <v>7.45</v>
      </c>
      <c r="J63" s="238">
        <v>7.69</v>
      </c>
      <c r="K63" s="238">
        <v>7.23</v>
      </c>
      <c r="L63" s="238">
        <v>7.64</v>
      </c>
      <c r="M63" s="239">
        <v>7.3</v>
      </c>
      <c r="N63" s="237">
        <v>3.43</v>
      </c>
      <c r="O63" s="238">
        <v>3.49</v>
      </c>
      <c r="P63" s="238">
        <v>3.38</v>
      </c>
      <c r="Q63" s="238">
        <v>3.5</v>
      </c>
      <c r="R63" s="238">
        <v>3.42</v>
      </c>
      <c r="S63" s="238">
        <v>3.54</v>
      </c>
      <c r="T63" s="238">
        <v>3.33</v>
      </c>
      <c r="U63" s="238">
        <v>3.53</v>
      </c>
      <c r="V63" s="238">
        <v>3.5</v>
      </c>
      <c r="W63" s="240">
        <v>3.49</v>
      </c>
      <c r="X63" s="237">
        <f t="shared" si="55"/>
        <v>2.0437317784256557</v>
      </c>
      <c r="Y63" s="238">
        <f t="shared" si="56"/>
        <v>2.1661891117478507</v>
      </c>
      <c r="Z63" s="238">
        <f t="shared" si="57"/>
        <v>2.269230769230769</v>
      </c>
      <c r="AA63" s="238">
        <f t="shared" si="58"/>
        <v>2.1685714285714286</v>
      </c>
      <c r="AB63" s="238">
        <f t="shared" si="59"/>
        <v>2.254385964912281</v>
      </c>
      <c r="AC63" s="238">
        <f t="shared" si="60"/>
        <v>2.1045197740112993</v>
      </c>
      <c r="AD63" s="238">
        <f t="shared" si="61"/>
        <v>2.3093093093093096</v>
      </c>
      <c r="AE63" s="238">
        <f t="shared" si="62"/>
        <v>2.048158640226629</v>
      </c>
      <c r="AF63" s="238">
        <f t="shared" si="63"/>
        <v>2.182857142857143</v>
      </c>
      <c r="AG63" s="239">
        <f t="shared" si="64"/>
        <v>2.0916905444126073</v>
      </c>
      <c r="AH63" s="244" t="s">
        <v>182</v>
      </c>
      <c r="AI63" s="237">
        <v>4.96</v>
      </c>
      <c r="AJ63" s="241">
        <v>4.83</v>
      </c>
      <c r="AK63" s="241">
        <v>4.97</v>
      </c>
      <c r="AL63" s="241">
        <v>5.15</v>
      </c>
      <c r="AM63" s="241">
        <v>5.11</v>
      </c>
      <c r="AN63" s="241">
        <v>4.94</v>
      </c>
      <c r="AO63" s="241">
        <v>5.05</v>
      </c>
      <c r="AP63" s="241">
        <v>5.08</v>
      </c>
      <c r="AQ63" s="238">
        <v>4.88</v>
      </c>
      <c r="AR63" s="239">
        <v>4.93</v>
      </c>
      <c r="AS63" s="237">
        <v>2.99</v>
      </c>
      <c r="AT63" s="241">
        <v>2.98</v>
      </c>
      <c r="AU63" s="241">
        <v>2.75</v>
      </c>
      <c r="AV63" s="241">
        <v>3.06</v>
      </c>
      <c r="AW63" s="241">
        <v>3.04</v>
      </c>
      <c r="AX63" s="241">
        <v>2.96</v>
      </c>
      <c r="AY63" s="241">
        <v>2.88</v>
      </c>
      <c r="AZ63" s="241">
        <v>3.02</v>
      </c>
      <c r="BA63" s="241">
        <v>2.92</v>
      </c>
      <c r="BB63" s="239">
        <v>2.97</v>
      </c>
      <c r="BC63" s="237">
        <f t="shared" si="35"/>
        <v>1.6588628762541804</v>
      </c>
      <c r="BD63" s="238">
        <f t="shared" si="36"/>
        <v>1.6208053691275168</v>
      </c>
      <c r="BE63" s="238">
        <f t="shared" si="37"/>
        <v>1.8072727272727271</v>
      </c>
      <c r="BF63" s="238">
        <f t="shared" si="38"/>
        <v>1.6830065359477124</v>
      </c>
      <c r="BG63" s="238">
        <f t="shared" si="39"/>
        <v>1.680921052631579</v>
      </c>
      <c r="BH63" s="238">
        <f t="shared" si="40"/>
        <v>1.668918918918919</v>
      </c>
      <c r="BI63" s="238">
        <f t="shared" si="41"/>
        <v>1.7534722222222223</v>
      </c>
      <c r="BJ63" s="238">
        <f t="shared" si="42"/>
        <v>1.6821192052980132</v>
      </c>
      <c r="BK63" s="238">
        <f t="shared" si="43"/>
        <v>1.6712328767123288</v>
      </c>
      <c r="BL63" s="238">
        <f t="shared" si="44"/>
        <v>1.6599326599326598</v>
      </c>
      <c r="BM63" s="373">
        <v>26.54</v>
      </c>
      <c r="BN63" s="373">
        <v>17.71</v>
      </c>
      <c r="BO63" s="374">
        <f t="shared" si="24"/>
        <v>0.6672946495855313</v>
      </c>
      <c r="BP63" s="373">
        <v>16.03</v>
      </c>
      <c r="BQ63" s="242">
        <f t="shared" si="13"/>
        <v>0.6039939713639789</v>
      </c>
      <c r="BS63" s="234"/>
    </row>
    <row r="64" spans="1:71" ht="15">
      <c r="A64" s="194">
        <v>1646</v>
      </c>
      <c r="B64" s="244" t="s">
        <v>183</v>
      </c>
      <c r="C64" s="236">
        <v>1</v>
      </c>
      <c r="D64" s="237">
        <v>10.21</v>
      </c>
      <c r="E64" s="238">
        <v>8.99</v>
      </c>
      <c r="F64" s="238">
        <v>9.61</v>
      </c>
      <c r="G64" s="238">
        <v>9.64</v>
      </c>
      <c r="H64" s="238">
        <v>9.44</v>
      </c>
      <c r="I64" s="238">
        <v>10.28</v>
      </c>
      <c r="J64" s="238">
        <v>9.61</v>
      </c>
      <c r="K64" s="238">
        <v>9</v>
      </c>
      <c r="L64" s="238">
        <v>10.14</v>
      </c>
      <c r="M64" s="239">
        <v>9.52</v>
      </c>
      <c r="N64" s="237">
        <v>2.48</v>
      </c>
      <c r="O64" s="238">
        <v>2.37</v>
      </c>
      <c r="P64" s="238">
        <v>2.2</v>
      </c>
      <c r="Q64" s="238">
        <v>2.73</v>
      </c>
      <c r="R64" s="238">
        <v>2.51</v>
      </c>
      <c r="S64" s="238">
        <v>2.48</v>
      </c>
      <c r="T64" s="238">
        <v>2.56</v>
      </c>
      <c r="U64" s="238">
        <v>2.37</v>
      </c>
      <c r="V64" s="238">
        <v>2.36</v>
      </c>
      <c r="W64" s="240">
        <v>2.46</v>
      </c>
      <c r="X64" s="237">
        <f t="shared" si="55"/>
        <v>4.116935483870968</v>
      </c>
      <c r="Y64" s="238">
        <f t="shared" si="56"/>
        <v>3.7932489451476794</v>
      </c>
      <c r="Z64" s="238">
        <f t="shared" si="57"/>
        <v>4.368181818181817</v>
      </c>
      <c r="AA64" s="238">
        <f t="shared" si="58"/>
        <v>3.5311355311355315</v>
      </c>
      <c r="AB64" s="238">
        <f t="shared" si="59"/>
        <v>3.760956175298805</v>
      </c>
      <c r="AC64" s="238">
        <f t="shared" si="60"/>
        <v>4.14516129032258</v>
      </c>
      <c r="AD64" s="238">
        <f t="shared" si="61"/>
        <v>3.7539062499999996</v>
      </c>
      <c r="AE64" s="238">
        <f t="shared" si="62"/>
        <v>3.7974683544303796</v>
      </c>
      <c r="AF64" s="238">
        <f t="shared" si="63"/>
        <v>4.296610169491526</v>
      </c>
      <c r="AG64" s="239">
        <f t="shared" si="64"/>
        <v>3.8699186991869916</v>
      </c>
      <c r="AH64" s="244" t="s">
        <v>183</v>
      </c>
      <c r="AI64" s="237">
        <v>7.06</v>
      </c>
      <c r="AJ64" s="241">
        <v>7.31</v>
      </c>
      <c r="AK64" s="241">
        <v>7.36</v>
      </c>
      <c r="AL64" s="241">
        <v>7.21</v>
      </c>
      <c r="AM64" s="241">
        <v>7.07</v>
      </c>
      <c r="AN64" s="241">
        <v>7.19</v>
      </c>
      <c r="AO64" s="241">
        <v>7.41</v>
      </c>
      <c r="AP64" s="241">
        <v>7.28</v>
      </c>
      <c r="AQ64" s="238">
        <v>7</v>
      </c>
      <c r="AR64" s="239">
        <v>6.73</v>
      </c>
      <c r="AS64" s="237">
        <v>2</v>
      </c>
      <c r="AT64" s="241">
        <v>2.14</v>
      </c>
      <c r="AU64" s="241">
        <v>2.08</v>
      </c>
      <c r="AV64" s="241">
        <v>2.25</v>
      </c>
      <c r="AW64" s="241">
        <v>2.21</v>
      </c>
      <c r="AX64" s="241">
        <v>2.16</v>
      </c>
      <c r="AY64" s="241">
        <v>2.1</v>
      </c>
      <c r="AZ64" s="241">
        <v>2.03</v>
      </c>
      <c r="BA64" s="238">
        <v>2.01</v>
      </c>
      <c r="BB64" s="239">
        <v>2.07</v>
      </c>
      <c r="BC64" s="237">
        <f t="shared" si="35"/>
        <v>3.53</v>
      </c>
      <c r="BD64" s="238">
        <f t="shared" si="36"/>
        <v>3.415887850467289</v>
      </c>
      <c r="BE64" s="238">
        <f t="shared" si="37"/>
        <v>3.5384615384615383</v>
      </c>
      <c r="BF64" s="238">
        <f t="shared" si="38"/>
        <v>3.2044444444444444</v>
      </c>
      <c r="BG64" s="238">
        <f t="shared" si="39"/>
        <v>3.1990950226244346</v>
      </c>
      <c r="BH64" s="238">
        <f t="shared" si="40"/>
        <v>3.3287037037037037</v>
      </c>
      <c r="BI64" s="238">
        <f t="shared" si="41"/>
        <v>3.5285714285714285</v>
      </c>
      <c r="BJ64" s="238">
        <f t="shared" si="42"/>
        <v>3.5862068965517246</v>
      </c>
      <c r="BK64" s="238">
        <f t="shared" si="43"/>
        <v>3.4825870646766175</v>
      </c>
      <c r="BL64" s="238">
        <f t="shared" si="44"/>
        <v>3.2512077294685997</v>
      </c>
      <c r="BM64" s="373">
        <v>23.59</v>
      </c>
      <c r="BN64" s="373">
        <v>16.59</v>
      </c>
      <c r="BO64" s="374">
        <f t="shared" si="24"/>
        <v>0.7032640949554896</v>
      </c>
      <c r="BP64" s="373">
        <v>15.440000000000001</v>
      </c>
      <c r="BQ64" s="242">
        <f t="shared" si="13"/>
        <v>0.6545146248410344</v>
      </c>
      <c r="BS64" s="234"/>
    </row>
    <row r="65" spans="1:71" ht="15">
      <c r="A65" s="194">
        <v>1647</v>
      </c>
      <c r="B65" s="244" t="s">
        <v>184</v>
      </c>
      <c r="C65" s="236">
        <v>1</v>
      </c>
      <c r="D65" s="237">
        <v>9.44</v>
      </c>
      <c r="E65" s="238">
        <v>9.11</v>
      </c>
      <c r="F65" s="238">
        <v>9.8</v>
      </c>
      <c r="G65" s="238">
        <v>10.06</v>
      </c>
      <c r="H65" s="238">
        <v>9.31</v>
      </c>
      <c r="I65" s="238">
        <v>9.85</v>
      </c>
      <c r="J65" s="238">
        <v>10</v>
      </c>
      <c r="K65" s="238">
        <v>9.48</v>
      </c>
      <c r="L65" s="238">
        <v>10.38</v>
      </c>
      <c r="M65" s="239">
        <v>9.03</v>
      </c>
      <c r="N65" s="237">
        <v>2.81</v>
      </c>
      <c r="O65" s="238">
        <v>2.62</v>
      </c>
      <c r="P65" s="238">
        <v>2.7</v>
      </c>
      <c r="Q65" s="238">
        <v>2.78</v>
      </c>
      <c r="R65" s="238">
        <v>2.93</v>
      </c>
      <c r="S65" s="238">
        <v>2.65</v>
      </c>
      <c r="T65" s="238">
        <v>2.54</v>
      </c>
      <c r="U65" s="238">
        <v>3.01</v>
      </c>
      <c r="V65" s="238">
        <v>2.66</v>
      </c>
      <c r="W65" s="240">
        <v>2.71</v>
      </c>
      <c r="X65" s="237">
        <f t="shared" si="55"/>
        <v>3.3594306049822062</v>
      </c>
      <c r="Y65" s="238">
        <f t="shared" si="56"/>
        <v>3.4770992366412212</v>
      </c>
      <c r="Z65" s="238">
        <f t="shared" si="57"/>
        <v>3.6296296296296298</v>
      </c>
      <c r="AA65" s="238">
        <f t="shared" si="58"/>
        <v>3.6187050359712236</v>
      </c>
      <c r="AB65" s="238">
        <f t="shared" si="59"/>
        <v>3.1774744027303754</v>
      </c>
      <c r="AC65" s="238">
        <f t="shared" si="60"/>
        <v>3.7169811320754715</v>
      </c>
      <c r="AD65" s="238">
        <f t="shared" si="61"/>
        <v>3.937007874015748</v>
      </c>
      <c r="AE65" s="238">
        <f t="shared" si="62"/>
        <v>3.1495016611295683</v>
      </c>
      <c r="AF65" s="238">
        <f t="shared" si="63"/>
        <v>3.9022556390977443</v>
      </c>
      <c r="AG65" s="239">
        <f t="shared" si="64"/>
        <v>3.3321033210332103</v>
      </c>
      <c r="AH65" s="244" t="s">
        <v>184</v>
      </c>
      <c r="AI65" s="237">
        <v>7.14</v>
      </c>
      <c r="AJ65" s="241">
        <v>6.57</v>
      </c>
      <c r="AK65" s="241">
        <v>6.75</v>
      </c>
      <c r="AL65" s="241">
        <v>6.94</v>
      </c>
      <c r="AM65" s="241">
        <v>7.5</v>
      </c>
      <c r="AN65" s="241">
        <v>7.26</v>
      </c>
      <c r="AO65" s="241">
        <v>6.81</v>
      </c>
      <c r="AP65" s="241">
        <v>6.5</v>
      </c>
      <c r="AQ65" s="238">
        <v>7.34</v>
      </c>
      <c r="AR65" s="239">
        <v>6.98</v>
      </c>
      <c r="AS65" s="237">
        <v>2.26</v>
      </c>
      <c r="AT65" s="241">
        <v>2.28</v>
      </c>
      <c r="AU65" s="241">
        <v>2.32</v>
      </c>
      <c r="AV65" s="241">
        <v>2.3</v>
      </c>
      <c r="AW65" s="241">
        <v>2.19</v>
      </c>
      <c r="AX65" s="241">
        <v>2.13</v>
      </c>
      <c r="AY65" s="241">
        <v>2.41</v>
      </c>
      <c r="AZ65" s="241">
        <v>2.26</v>
      </c>
      <c r="BA65" s="238">
        <v>2.35</v>
      </c>
      <c r="BB65" s="239">
        <v>2.31</v>
      </c>
      <c r="BC65" s="237">
        <f t="shared" si="35"/>
        <v>3.1592920353982303</v>
      </c>
      <c r="BD65" s="238">
        <f t="shared" si="36"/>
        <v>2.8815789473684212</v>
      </c>
      <c r="BE65" s="238">
        <f t="shared" si="37"/>
        <v>2.90948275862069</v>
      </c>
      <c r="BF65" s="238">
        <f t="shared" si="38"/>
        <v>3.0173913043478264</v>
      </c>
      <c r="BG65" s="238">
        <f t="shared" si="39"/>
        <v>3.4246575342465753</v>
      </c>
      <c r="BH65" s="238">
        <f t="shared" si="40"/>
        <v>3.408450704225352</v>
      </c>
      <c r="BI65" s="238">
        <f t="shared" si="41"/>
        <v>2.825726141078838</v>
      </c>
      <c r="BJ65" s="238">
        <f t="shared" si="42"/>
        <v>2.8761061946902657</v>
      </c>
      <c r="BK65" s="238">
        <f t="shared" si="43"/>
        <v>3.123404255319149</v>
      </c>
      <c r="BL65" s="238">
        <f t="shared" si="44"/>
        <v>3.0216450216450217</v>
      </c>
      <c r="BM65" s="373">
        <f>2*12.33</f>
        <v>24.66</v>
      </c>
      <c r="BN65" s="373">
        <f>2*8.62</f>
        <v>17.24</v>
      </c>
      <c r="BO65" s="374">
        <f t="shared" si="24"/>
        <v>0.6991078669910786</v>
      </c>
      <c r="BP65" s="373">
        <f>2*7.81</f>
        <v>15.62</v>
      </c>
      <c r="BQ65" s="242">
        <f t="shared" si="13"/>
        <v>0.6334144363341443</v>
      </c>
      <c r="BS65" s="234"/>
    </row>
    <row r="66" spans="1:71" ht="15">
      <c r="A66" s="194">
        <v>1648</v>
      </c>
      <c r="B66" s="244" t="s">
        <v>185</v>
      </c>
      <c r="C66" s="236">
        <v>1</v>
      </c>
      <c r="D66" s="237">
        <v>7.94</v>
      </c>
      <c r="E66" s="238">
        <v>8.7</v>
      </c>
      <c r="F66" s="238">
        <v>9.01</v>
      </c>
      <c r="G66" s="238">
        <v>9.39</v>
      </c>
      <c r="H66" s="238">
        <v>9.45</v>
      </c>
      <c r="I66" s="238">
        <v>9.22</v>
      </c>
      <c r="J66" s="238">
        <v>8.22</v>
      </c>
      <c r="K66" s="238">
        <v>9.15</v>
      </c>
      <c r="L66" s="238">
        <v>8.98</v>
      </c>
      <c r="M66" s="239">
        <v>8.47</v>
      </c>
      <c r="N66" s="237">
        <v>2.64</v>
      </c>
      <c r="O66" s="238">
        <v>2.7</v>
      </c>
      <c r="P66" s="238">
        <v>2.68</v>
      </c>
      <c r="Q66" s="238">
        <v>2.57</v>
      </c>
      <c r="R66" s="238">
        <v>2.8</v>
      </c>
      <c r="S66" s="238">
        <v>2.81</v>
      </c>
      <c r="T66" s="238">
        <v>2.44</v>
      </c>
      <c r="U66" s="238">
        <v>2.63</v>
      </c>
      <c r="V66" s="238">
        <v>2.67</v>
      </c>
      <c r="W66" s="240">
        <v>2.72</v>
      </c>
      <c r="X66" s="237">
        <f t="shared" si="55"/>
        <v>3.007575757575758</v>
      </c>
      <c r="Y66" s="238">
        <f t="shared" si="56"/>
        <v>3.222222222222222</v>
      </c>
      <c r="Z66" s="238">
        <f t="shared" si="57"/>
        <v>3.3619402985074625</v>
      </c>
      <c r="AA66" s="238">
        <f t="shared" si="58"/>
        <v>3.653696498054475</v>
      </c>
      <c r="AB66" s="238">
        <f t="shared" si="59"/>
        <v>3.375</v>
      </c>
      <c r="AC66" s="238">
        <f t="shared" si="60"/>
        <v>3.2811387900355875</v>
      </c>
      <c r="AD66" s="238">
        <f t="shared" si="61"/>
        <v>3.3688524590163937</v>
      </c>
      <c r="AE66" s="238">
        <f t="shared" si="62"/>
        <v>3.479087452471483</v>
      </c>
      <c r="AF66" s="238">
        <f t="shared" si="63"/>
        <v>3.363295880149813</v>
      </c>
      <c r="AG66" s="239">
        <f t="shared" si="64"/>
        <v>3.113970588235294</v>
      </c>
      <c r="AH66" s="244" t="s">
        <v>185</v>
      </c>
      <c r="AI66" s="237">
        <v>6.6</v>
      </c>
      <c r="AJ66" s="241">
        <v>6.91</v>
      </c>
      <c r="AK66" s="241">
        <v>6.57</v>
      </c>
      <c r="AL66" s="241">
        <v>6.07</v>
      </c>
      <c r="AM66" s="241">
        <v>5.99</v>
      </c>
      <c r="AN66" s="241">
        <v>6.14</v>
      </c>
      <c r="AO66" s="241">
        <v>6.35</v>
      </c>
      <c r="AP66" s="241">
        <v>6.8</v>
      </c>
      <c r="AQ66" s="238">
        <v>6.5</v>
      </c>
      <c r="AR66" s="239">
        <v>6.16</v>
      </c>
      <c r="AS66" s="237">
        <v>2.34</v>
      </c>
      <c r="AT66" s="241">
        <v>2.25</v>
      </c>
      <c r="AU66" s="241">
        <v>2.42</v>
      </c>
      <c r="AV66" s="241">
        <v>2.12</v>
      </c>
      <c r="AW66" s="241">
        <v>2.17</v>
      </c>
      <c r="AX66" s="241">
        <v>2.28</v>
      </c>
      <c r="AY66" s="241">
        <v>2.25</v>
      </c>
      <c r="AZ66" s="241">
        <v>2.28</v>
      </c>
      <c r="BA66" s="238">
        <v>2.37</v>
      </c>
      <c r="BB66" s="239">
        <v>2.37</v>
      </c>
      <c r="BC66" s="237">
        <f t="shared" si="35"/>
        <v>2.8205128205128207</v>
      </c>
      <c r="BD66" s="238">
        <f t="shared" si="36"/>
        <v>3.071111111111111</v>
      </c>
      <c r="BE66" s="238">
        <f t="shared" si="37"/>
        <v>2.7148760330578514</v>
      </c>
      <c r="BF66" s="238">
        <f t="shared" si="38"/>
        <v>2.8632075471698113</v>
      </c>
      <c r="BG66" s="238">
        <f t="shared" si="39"/>
        <v>2.76036866359447</v>
      </c>
      <c r="BH66" s="238">
        <f t="shared" si="40"/>
        <v>2.692982456140351</v>
      </c>
      <c r="BI66" s="238">
        <f t="shared" si="41"/>
        <v>2.822222222222222</v>
      </c>
      <c r="BJ66" s="238">
        <f t="shared" si="42"/>
        <v>2.9824561403508776</v>
      </c>
      <c r="BK66" s="238">
        <f t="shared" si="43"/>
        <v>2.742616033755274</v>
      </c>
      <c r="BL66" s="238">
        <f t="shared" si="44"/>
        <v>2.5991561181434597</v>
      </c>
      <c r="BM66" s="373">
        <v>22.86</v>
      </c>
      <c r="BN66" s="373">
        <v>16.3</v>
      </c>
      <c r="BO66" s="374">
        <f t="shared" si="24"/>
        <v>0.7130358705161856</v>
      </c>
      <c r="BP66" s="373">
        <v>15.64</v>
      </c>
      <c r="BQ66" s="242">
        <f t="shared" si="13"/>
        <v>0.6841644794400701</v>
      </c>
      <c r="BS66" s="234"/>
    </row>
    <row r="67" spans="1:71" ht="15">
      <c r="A67" s="194">
        <v>1649</v>
      </c>
      <c r="B67" s="244" t="s">
        <v>186</v>
      </c>
      <c r="C67" s="236">
        <v>1</v>
      </c>
      <c r="D67" s="237">
        <v>7.93</v>
      </c>
      <c r="E67" s="238">
        <v>7.99</v>
      </c>
      <c r="F67" s="238">
        <v>8.1</v>
      </c>
      <c r="G67" s="238">
        <v>7.91</v>
      </c>
      <c r="H67" s="238">
        <v>7.86</v>
      </c>
      <c r="I67" s="238">
        <v>7.58</v>
      </c>
      <c r="J67" s="238">
        <v>8.26</v>
      </c>
      <c r="K67" s="238">
        <v>8.93</v>
      </c>
      <c r="L67" s="238">
        <v>8.34</v>
      </c>
      <c r="M67" s="239">
        <v>8.41</v>
      </c>
      <c r="N67" s="237">
        <v>2.47</v>
      </c>
      <c r="O67" s="238">
        <v>2.54</v>
      </c>
      <c r="P67" s="238">
        <v>2.71</v>
      </c>
      <c r="Q67" s="238">
        <v>2.5</v>
      </c>
      <c r="R67" s="238">
        <v>2.44</v>
      </c>
      <c r="S67" s="238">
        <v>2.45</v>
      </c>
      <c r="T67" s="238">
        <v>2.57</v>
      </c>
      <c r="U67" s="238">
        <v>2.52</v>
      </c>
      <c r="V67" s="238">
        <v>2.58</v>
      </c>
      <c r="W67" s="240">
        <v>2.58</v>
      </c>
      <c r="X67" s="237">
        <f t="shared" si="55"/>
        <v>3.2105263157894735</v>
      </c>
      <c r="Y67" s="238">
        <f t="shared" si="56"/>
        <v>3.145669291338583</v>
      </c>
      <c r="Z67" s="238">
        <f t="shared" si="57"/>
        <v>2.988929889298893</v>
      </c>
      <c r="AA67" s="238">
        <f t="shared" si="58"/>
        <v>3.164</v>
      </c>
      <c r="AB67" s="238">
        <f t="shared" si="59"/>
        <v>3.2213114754098364</v>
      </c>
      <c r="AC67" s="238">
        <f t="shared" si="60"/>
        <v>3.093877551020408</v>
      </c>
      <c r="AD67" s="238">
        <f t="shared" si="61"/>
        <v>3.2140077821011674</v>
      </c>
      <c r="AE67" s="238">
        <f t="shared" si="62"/>
        <v>3.5436507936507935</v>
      </c>
      <c r="AF67" s="238">
        <f t="shared" si="63"/>
        <v>3.2325581395348837</v>
      </c>
      <c r="AG67" s="239">
        <f t="shared" si="64"/>
        <v>3.25968992248062</v>
      </c>
      <c r="AH67" s="244" t="s">
        <v>186</v>
      </c>
      <c r="AI67" s="237">
        <v>6.39</v>
      </c>
      <c r="AJ67" s="241">
        <v>6.06</v>
      </c>
      <c r="AK67" s="241">
        <v>5.6</v>
      </c>
      <c r="AL67" s="241">
        <v>6.17</v>
      </c>
      <c r="AM67" s="241">
        <v>6.6</v>
      </c>
      <c r="AN67" s="241">
        <v>6.07</v>
      </c>
      <c r="AO67" s="241">
        <v>6.27</v>
      </c>
      <c r="AP67" s="241">
        <v>6.31</v>
      </c>
      <c r="AQ67" s="238">
        <v>6.2</v>
      </c>
      <c r="AR67" s="239">
        <v>6.52</v>
      </c>
      <c r="AS67" s="237">
        <v>2.26</v>
      </c>
      <c r="AT67" s="241">
        <v>2.17</v>
      </c>
      <c r="AU67" s="241">
        <v>2.14</v>
      </c>
      <c r="AV67" s="241">
        <v>2.24</v>
      </c>
      <c r="AW67" s="241">
        <v>2.22</v>
      </c>
      <c r="AX67" s="241">
        <v>2.34</v>
      </c>
      <c r="AY67" s="241">
        <v>2.25</v>
      </c>
      <c r="AZ67" s="241">
        <v>2.27</v>
      </c>
      <c r="BA67" s="238">
        <v>2.24</v>
      </c>
      <c r="BB67" s="239">
        <v>2.25</v>
      </c>
      <c r="BC67" s="237">
        <f t="shared" si="35"/>
        <v>2.8274336283185844</v>
      </c>
      <c r="BD67" s="238">
        <f t="shared" si="36"/>
        <v>2.792626728110599</v>
      </c>
      <c r="BE67" s="238">
        <f t="shared" si="37"/>
        <v>2.616822429906542</v>
      </c>
      <c r="BF67" s="238">
        <f t="shared" si="38"/>
        <v>2.7544642857142856</v>
      </c>
      <c r="BG67" s="238">
        <f t="shared" si="39"/>
        <v>2.9729729729729724</v>
      </c>
      <c r="BH67" s="238">
        <f t="shared" si="40"/>
        <v>2.594017094017094</v>
      </c>
      <c r="BI67" s="238">
        <f t="shared" si="41"/>
        <v>2.7866666666666666</v>
      </c>
      <c r="BJ67" s="238">
        <f t="shared" si="42"/>
        <v>2.779735682819383</v>
      </c>
      <c r="BK67" s="238">
        <f t="shared" si="43"/>
        <v>2.767857142857143</v>
      </c>
      <c r="BL67" s="238">
        <f t="shared" si="44"/>
        <v>2.897777777777778</v>
      </c>
      <c r="BM67" s="373">
        <v>19.74</v>
      </c>
      <c r="BN67" s="373">
        <v>14.1</v>
      </c>
      <c r="BO67" s="374">
        <f t="shared" si="24"/>
        <v>0.7142857142857143</v>
      </c>
      <c r="BP67" s="373">
        <v>12.46</v>
      </c>
      <c r="BQ67" s="242">
        <f t="shared" si="13"/>
        <v>0.6312056737588654</v>
      </c>
      <c r="BS67" s="234"/>
    </row>
    <row r="68" spans="1:71" ht="15">
      <c r="A68" s="194">
        <v>1650</v>
      </c>
      <c r="B68" s="244" t="s">
        <v>188</v>
      </c>
      <c r="C68" s="236">
        <v>1</v>
      </c>
      <c r="D68" s="237">
        <v>8.75</v>
      </c>
      <c r="E68" s="238">
        <v>9.39</v>
      </c>
      <c r="F68" s="238">
        <v>8.52</v>
      </c>
      <c r="G68" s="238">
        <v>8.15</v>
      </c>
      <c r="H68" s="238">
        <v>9.55</v>
      </c>
      <c r="I68" s="238">
        <v>9.17</v>
      </c>
      <c r="J68" s="238">
        <v>9.21</v>
      </c>
      <c r="K68" s="238">
        <v>8.51</v>
      </c>
      <c r="L68" s="238">
        <v>9.01</v>
      </c>
      <c r="M68" s="239">
        <v>9.61</v>
      </c>
      <c r="N68" s="237">
        <v>2.77</v>
      </c>
      <c r="O68" s="238">
        <v>2.94</v>
      </c>
      <c r="P68" s="238">
        <v>2.49</v>
      </c>
      <c r="Q68" s="238">
        <v>3.03</v>
      </c>
      <c r="R68" s="238">
        <v>2.8</v>
      </c>
      <c r="S68" s="238">
        <v>2.42</v>
      </c>
      <c r="T68" s="238">
        <v>2.5</v>
      </c>
      <c r="U68" s="238">
        <v>3.08</v>
      </c>
      <c r="V68" s="238">
        <v>2.82</v>
      </c>
      <c r="W68" s="240">
        <v>2.7</v>
      </c>
      <c r="X68" s="237">
        <f t="shared" si="55"/>
        <v>3.1588447653429603</v>
      </c>
      <c r="Y68" s="238">
        <f t="shared" si="56"/>
        <v>3.1938775510204085</v>
      </c>
      <c r="Z68" s="238">
        <f t="shared" si="57"/>
        <v>3.4216867469879513</v>
      </c>
      <c r="AA68" s="238">
        <f t="shared" si="58"/>
        <v>2.6897689768976902</v>
      </c>
      <c r="AB68" s="238">
        <f t="shared" si="59"/>
        <v>3.410714285714286</v>
      </c>
      <c r="AC68" s="238">
        <f t="shared" si="60"/>
        <v>3.7892561983471076</v>
      </c>
      <c r="AD68" s="238">
        <f t="shared" si="61"/>
        <v>3.684</v>
      </c>
      <c r="AE68" s="238">
        <f t="shared" si="62"/>
        <v>2.7629870129870127</v>
      </c>
      <c r="AF68" s="238">
        <f t="shared" si="63"/>
        <v>3.1950354609929077</v>
      </c>
      <c r="AG68" s="239">
        <f t="shared" si="64"/>
        <v>3.559259259259259</v>
      </c>
      <c r="AH68" s="244" t="s">
        <v>188</v>
      </c>
      <c r="AI68" s="237">
        <v>7.08</v>
      </c>
      <c r="AJ68" s="241">
        <v>6.91</v>
      </c>
      <c r="AK68" s="241">
        <v>6.88</v>
      </c>
      <c r="AL68" s="241">
        <v>6.55</v>
      </c>
      <c r="AM68" s="241">
        <v>6.3</v>
      </c>
      <c r="AN68" s="241">
        <v>6.87</v>
      </c>
      <c r="AO68" s="241">
        <v>7.12</v>
      </c>
      <c r="AP68" s="241">
        <v>6.67</v>
      </c>
      <c r="AQ68" s="238">
        <v>7.25</v>
      </c>
      <c r="AR68" s="239">
        <v>7.29</v>
      </c>
      <c r="AS68" s="237">
        <v>2.26</v>
      </c>
      <c r="AT68" s="241">
        <v>2.15</v>
      </c>
      <c r="AU68" s="241">
        <v>2.23</v>
      </c>
      <c r="AV68" s="241">
        <v>2.54</v>
      </c>
      <c r="AW68" s="241">
        <v>2.41</v>
      </c>
      <c r="AX68" s="241">
        <v>2.09</v>
      </c>
      <c r="AY68" s="241">
        <v>2.26</v>
      </c>
      <c r="AZ68" s="241">
        <v>2.46</v>
      </c>
      <c r="BA68" s="238">
        <v>2.36</v>
      </c>
      <c r="BB68" s="239">
        <v>2.15</v>
      </c>
      <c r="BC68" s="237">
        <f t="shared" si="35"/>
        <v>3.132743362831859</v>
      </c>
      <c r="BD68" s="238">
        <f t="shared" si="36"/>
        <v>3.213953488372093</v>
      </c>
      <c r="BE68" s="238">
        <f t="shared" si="37"/>
        <v>3.085201793721973</v>
      </c>
      <c r="BF68" s="238">
        <f t="shared" si="38"/>
        <v>2.578740157480315</v>
      </c>
      <c r="BG68" s="238">
        <f t="shared" si="39"/>
        <v>2.614107883817427</v>
      </c>
      <c r="BH68" s="238">
        <f t="shared" si="40"/>
        <v>3.287081339712919</v>
      </c>
      <c r="BI68" s="238">
        <f t="shared" si="41"/>
        <v>3.1504424778761067</v>
      </c>
      <c r="BJ68" s="238">
        <f t="shared" si="42"/>
        <v>2.7113821138211383</v>
      </c>
      <c r="BK68" s="238">
        <f t="shared" si="43"/>
        <v>3.0720338983050848</v>
      </c>
      <c r="BL68" s="238">
        <f t="shared" si="44"/>
        <v>3.390697674418605</v>
      </c>
      <c r="BM68" s="373">
        <v>22.71</v>
      </c>
      <c r="BN68" s="373">
        <v>16.32</v>
      </c>
      <c r="BO68" s="374">
        <f t="shared" si="24"/>
        <v>0.7186261558784677</v>
      </c>
      <c r="BP68" s="373">
        <v>14.48</v>
      </c>
      <c r="BQ68" s="242">
        <f aca="true" t="shared" si="65" ref="BQ68:BQ122">BP68/BM68</f>
        <v>0.637604579480405</v>
      </c>
      <c r="BS68" s="234"/>
    </row>
    <row r="69" spans="1:71" ht="15">
      <c r="A69" s="194">
        <v>1651</v>
      </c>
      <c r="B69" s="246" t="s">
        <v>189</v>
      </c>
      <c r="C69" s="236">
        <v>3</v>
      </c>
      <c r="D69" s="237">
        <v>9.96</v>
      </c>
      <c r="E69" s="238">
        <v>9.11</v>
      </c>
      <c r="F69" s="238">
        <v>9.75</v>
      </c>
      <c r="G69" s="238">
        <v>10.5</v>
      </c>
      <c r="H69" s="238">
        <v>10.74</v>
      </c>
      <c r="I69" s="238">
        <v>10.13</v>
      </c>
      <c r="J69" s="238">
        <v>11.84</v>
      </c>
      <c r="K69" s="238">
        <v>10.29</v>
      </c>
      <c r="L69" s="238">
        <v>9.85</v>
      </c>
      <c r="M69" s="239">
        <v>10.27</v>
      </c>
      <c r="N69" s="237">
        <v>3.23</v>
      </c>
      <c r="O69" s="238">
        <v>2.75</v>
      </c>
      <c r="P69" s="238">
        <v>2.84</v>
      </c>
      <c r="Q69" s="238">
        <v>2.64</v>
      </c>
      <c r="R69" s="238">
        <v>2.69</v>
      </c>
      <c r="S69" s="238">
        <v>2.75</v>
      </c>
      <c r="T69" s="238">
        <v>2.64</v>
      </c>
      <c r="U69" s="238">
        <v>2.72</v>
      </c>
      <c r="V69" s="238">
        <v>2.82</v>
      </c>
      <c r="W69" s="240">
        <v>2.71</v>
      </c>
      <c r="X69" s="237">
        <f t="shared" si="55"/>
        <v>3.08359133126935</v>
      </c>
      <c r="Y69" s="238">
        <f t="shared" si="56"/>
        <v>3.3127272727272725</v>
      </c>
      <c r="Z69" s="238">
        <f t="shared" si="57"/>
        <v>3.433098591549296</v>
      </c>
      <c r="AA69" s="238">
        <f t="shared" si="58"/>
        <v>3.977272727272727</v>
      </c>
      <c r="AB69" s="238">
        <f t="shared" si="59"/>
        <v>3.992565055762082</v>
      </c>
      <c r="AC69" s="238">
        <f t="shared" si="60"/>
        <v>3.683636363636364</v>
      </c>
      <c r="AD69" s="238">
        <f t="shared" si="61"/>
        <v>4.484848484848484</v>
      </c>
      <c r="AE69" s="238">
        <f t="shared" si="62"/>
        <v>3.783088235294117</v>
      </c>
      <c r="AF69" s="238">
        <f t="shared" si="63"/>
        <v>3.49290780141844</v>
      </c>
      <c r="AG69" s="239">
        <f t="shared" si="64"/>
        <v>3.7896678966789668</v>
      </c>
      <c r="AH69" s="246" t="s">
        <v>189</v>
      </c>
      <c r="AI69" s="237">
        <v>7.48</v>
      </c>
      <c r="AJ69" s="241">
        <v>7.69</v>
      </c>
      <c r="AK69" s="241">
        <v>7.74</v>
      </c>
      <c r="AL69" s="241">
        <v>7.82</v>
      </c>
      <c r="AM69" s="241">
        <v>7.74</v>
      </c>
      <c r="AN69" s="241">
        <v>7.34</v>
      </c>
      <c r="AO69" s="241">
        <v>7.69</v>
      </c>
      <c r="AP69" s="241">
        <v>7.81</v>
      </c>
      <c r="AQ69" s="238">
        <v>7.77</v>
      </c>
      <c r="AR69" s="239">
        <v>7.42</v>
      </c>
      <c r="AS69" s="237">
        <v>2.43</v>
      </c>
      <c r="AT69" s="241">
        <v>2.5</v>
      </c>
      <c r="AU69" s="241">
        <v>2.42</v>
      </c>
      <c r="AV69" s="241">
        <v>2.57</v>
      </c>
      <c r="AW69" s="241">
        <v>2.54</v>
      </c>
      <c r="AX69" s="241">
        <v>2.45</v>
      </c>
      <c r="AY69" s="241">
        <v>2.51</v>
      </c>
      <c r="AZ69" s="241">
        <v>2.45</v>
      </c>
      <c r="BA69" s="238">
        <v>2.34</v>
      </c>
      <c r="BB69" s="239">
        <v>2.49</v>
      </c>
      <c r="BC69" s="237">
        <f t="shared" si="35"/>
        <v>3.0781893004115224</v>
      </c>
      <c r="BD69" s="238">
        <f t="shared" si="36"/>
        <v>3.076</v>
      </c>
      <c r="BE69" s="238">
        <f t="shared" si="37"/>
        <v>3.1983471074380168</v>
      </c>
      <c r="BF69" s="238">
        <f t="shared" si="38"/>
        <v>3.0428015564202338</v>
      </c>
      <c r="BG69" s="238">
        <f t="shared" si="39"/>
        <v>3.047244094488189</v>
      </c>
      <c r="BH69" s="238">
        <f t="shared" si="40"/>
        <v>2.9959183673469383</v>
      </c>
      <c r="BI69" s="238">
        <f t="shared" si="41"/>
        <v>3.063745019920319</v>
      </c>
      <c r="BJ69" s="238">
        <f t="shared" si="42"/>
        <v>3.187755102040816</v>
      </c>
      <c r="BK69" s="238">
        <f t="shared" si="43"/>
        <v>3.3205128205128207</v>
      </c>
      <c r="BL69" s="238">
        <f t="shared" si="44"/>
        <v>2.979919678714859</v>
      </c>
      <c r="BM69" s="373">
        <v>30.8</v>
      </c>
      <c r="BN69" s="373">
        <v>21.65</v>
      </c>
      <c r="BO69" s="374">
        <f aca="true" t="shared" si="66" ref="BO69:BO122">BN69/BM69</f>
        <v>0.7029220779220778</v>
      </c>
      <c r="BP69" s="373">
        <v>19.36</v>
      </c>
      <c r="BQ69" s="242">
        <f t="shared" si="65"/>
        <v>0.6285714285714286</v>
      </c>
      <c r="BS69" s="234"/>
    </row>
    <row r="70" spans="1:71" ht="15">
      <c r="A70" s="194">
        <v>1652</v>
      </c>
      <c r="B70" s="246" t="s">
        <v>190</v>
      </c>
      <c r="C70" s="236">
        <v>1</v>
      </c>
      <c r="D70" s="237">
        <v>9.22</v>
      </c>
      <c r="E70" s="238">
        <v>9.28</v>
      </c>
      <c r="F70" s="238">
        <v>8.95</v>
      </c>
      <c r="G70" s="238">
        <v>10.22</v>
      </c>
      <c r="H70" s="238">
        <v>8.86</v>
      </c>
      <c r="I70" s="238">
        <v>8.82</v>
      </c>
      <c r="J70" s="238">
        <v>9.61</v>
      </c>
      <c r="K70" s="238">
        <v>9.44</v>
      </c>
      <c r="L70" s="238">
        <v>9.33</v>
      </c>
      <c r="M70" s="239">
        <v>9.47</v>
      </c>
      <c r="N70" s="237">
        <v>2.24</v>
      </c>
      <c r="O70" s="238">
        <v>2.24</v>
      </c>
      <c r="P70" s="238">
        <v>2.46</v>
      </c>
      <c r="Q70" s="238">
        <v>2.48</v>
      </c>
      <c r="R70" s="238">
        <v>2.49</v>
      </c>
      <c r="S70" s="238">
        <v>2.63</v>
      </c>
      <c r="T70" s="238">
        <v>2.62</v>
      </c>
      <c r="U70" s="238">
        <v>2.57</v>
      </c>
      <c r="V70" s="238">
        <v>2.57</v>
      </c>
      <c r="W70" s="240">
        <v>2.58</v>
      </c>
      <c r="X70" s="237">
        <f t="shared" si="55"/>
        <v>4.116071428571429</v>
      </c>
      <c r="Y70" s="238">
        <f t="shared" si="56"/>
        <v>4.142857142857142</v>
      </c>
      <c r="Z70" s="238">
        <f t="shared" si="57"/>
        <v>3.638211382113821</v>
      </c>
      <c r="AA70" s="238">
        <f t="shared" si="58"/>
        <v>4.120967741935484</v>
      </c>
      <c r="AB70" s="238">
        <f t="shared" si="59"/>
        <v>3.558232931726907</v>
      </c>
      <c r="AC70" s="238">
        <f t="shared" si="60"/>
        <v>3.3536121673003803</v>
      </c>
      <c r="AD70" s="238">
        <f t="shared" si="61"/>
        <v>3.6679389312977095</v>
      </c>
      <c r="AE70" s="238">
        <f t="shared" si="62"/>
        <v>3.6731517509727625</v>
      </c>
      <c r="AF70" s="238">
        <f t="shared" si="63"/>
        <v>3.6303501945525296</v>
      </c>
      <c r="AG70" s="239">
        <f t="shared" si="64"/>
        <v>3.670542635658915</v>
      </c>
      <c r="AH70" s="246" t="s">
        <v>190</v>
      </c>
      <c r="AI70" s="237">
        <v>6.93</v>
      </c>
      <c r="AJ70" s="241">
        <v>7.09</v>
      </c>
      <c r="AK70" s="241">
        <v>7.15</v>
      </c>
      <c r="AL70" s="241">
        <v>7.42</v>
      </c>
      <c r="AM70" s="241">
        <v>7.02</v>
      </c>
      <c r="AN70" s="241">
        <v>6.59</v>
      </c>
      <c r="AO70" s="241">
        <v>6.83</v>
      </c>
      <c r="AP70" s="241">
        <v>6.87</v>
      </c>
      <c r="AQ70" s="238">
        <v>6.03</v>
      </c>
      <c r="AR70" s="239">
        <v>6.55</v>
      </c>
      <c r="AS70" s="237">
        <v>2.3</v>
      </c>
      <c r="AT70" s="241">
        <v>2.18</v>
      </c>
      <c r="AU70" s="241">
        <v>2.18</v>
      </c>
      <c r="AV70" s="241">
        <v>2.27</v>
      </c>
      <c r="AW70" s="241">
        <v>2.15</v>
      </c>
      <c r="AX70" s="241">
        <v>2.13</v>
      </c>
      <c r="AY70" s="241">
        <v>2.05</v>
      </c>
      <c r="AZ70" s="241">
        <v>2.22</v>
      </c>
      <c r="BA70" s="238">
        <v>2.12</v>
      </c>
      <c r="BB70" s="239">
        <v>2.3</v>
      </c>
      <c r="BC70" s="237">
        <f t="shared" si="35"/>
        <v>3.0130434782608697</v>
      </c>
      <c r="BD70" s="238">
        <f t="shared" si="36"/>
        <v>3.252293577981651</v>
      </c>
      <c r="BE70" s="238">
        <f t="shared" si="37"/>
        <v>3.279816513761468</v>
      </c>
      <c r="BF70" s="238">
        <f t="shared" si="38"/>
        <v>3.2687224669603525</v>
      </c>
      <c r="BG70" s="238">
        <f t="shared" si="39"/>
        <v>3.265116279069767</v>
      </c>
      <c r="BH70" s="238">
        <f t="shared" si="40"/>
        <v>3.0938967136150235</v>
      </c>
      <c r="BI70" s="238">
        <f t="shared" si="41"/>
        <v>3.331707317073171</v>
      </c>
      <c r="BJ70" s="238">
        <f t="shared" si="42"/>
        <v>3.0945945945945943</v>
      </c>
      <c r="BK70" s="238">
        <f t="shared" si="43"/>
        <v>2.844339622641509</v>
      </c>
      <c r="BL70" s="238">
        <f t="shared" si="44"/>
        <v>2.847826086956522</v>
      </c>
      <c r="BM70" s="373">
        <v>22.87</v>
      </c>
      <c r="BN70" s="373">
        <v>16.19</v>
      </c>
      <c r="BO70" s="374">
        <f t="shared" si="66"/>
        <v>0.7079142982072585</v>
      </c>
      <c r="BP70" s="373">
        <v>15.010000000000002</v>
      </c>
      <c r="BQ70" s="242">
        <f t="shared" si="65"/>
        <v>0.6563183209444687</v>
      </c>
      <c r="BS70" s="234"/>
    </row>
    <row r="71" spans="1:71" ht="15">
      <c r="A71" s="194">
        <v>1653</v>
      </c>
      <c r="B71" s="244" t="s">
        <v>191</v>
      </c>
      <c r="C71" s="236">
        <v>1</v>
      </c>
      <c r="D71" s="237">
        <v>9.51</v>
      </c>
      <c r="E71" s="238">
        <v>8.71</v>
      </c>
      <c r="F71" s="238">
        <v>8.7</v>
      </c>
      <c r="G71" s="238">
        <v>8.64</v>
      </c>
      <c r="H71" s="238">
        <v>9.22</v>
      </c>
      <c r="I71" s="238">
        <v>9.25</v>
      </c>
      <c r="J71" s="238">
        <v>8.81</v>
      </c>
      <c r="K71" s="238">
        <v>8.66</v>
      </c>
      <c r="L71" s="238">
        <v>9.18</v>
      </c>
      <c r="M71" s="239">
        <v>8.93</v>
      </c>
      <c r="N71" s="237">
        <v>2.87</v>
      </c>
      <c r="O71" s="238">
        <v>2.5</v>
      </c>
      <c r="P71" s="238">
        <v>2.86</v>
      </c>
      <c r="Q71" s="238">
        <v>2.68</v>
      </c>
      <c r="R71" s="238">
        <v>2.69</v>
      </c>
      <c r="S71" s="238">
        <v>2.64</v>
      </c>
      <c r="T71" s="238">
        <v>2.4</v>
      </c>
      <c r="U71" s="238">
        <v>2.89</v>
      </c>
      <c r="V71" s="238">
        <v>2.77</v>
      </c>
      <c r="W71" s="240">
        <v>2.48</v>
      </c>
      <c r="X71" s="237">
        <f t="shared" si="55"/>
        <v>3.3135888501742157</v>
      </c>
      <c r="Y71" s="238">
        <f t="shared" si="56"/>
        <v>3.4840000000000004</v>
      </c>
      <c r="Z71" s="238">
        <f t="shared" si="57"/>
        <v>3.0419580419580416</v>
      </c>
      <c r="AA71" s="238">
        <f t="shared" si="58"/>
        <v>3.2238805970149254</v>
      </c>
      <c r="AB71" s="238">
        <f t="shared" si="59"/>
        <v>3.4275092936802976</v>
      </c>
      <c r="AC71" s="238">
        <f t="shared" si="60"/>
        <v>3.5037878787878785</v>
      </c>
      <c r="AD71" s="238">
        <f t="shared" si="61"/>
        <v>3.670833333333334</v>
      </c>
      <c r="AE71" s="238">
        <f t="shared" si="62"/>
        <v>2.996539792387543</v>
      </c>
      <c r="AF71" s="238">
        <f t="shared" si="63"/>
        <v>3.3140794223826715</v>
      </c>
      <c r="AG71" s="239">
        <f t="shared" si="64"/>
        <v>3.600806451612903</v>
      </c>
      <c r="AH71" s="244" t="s">
        <v>191</v>
      </c>
      <c r="AI71" s="237">
        <v>6.45</v>
      </c>
      <c r="AJ71" s="241">
        <v>6.39</v>
      </c>
      <c r="AK71" s="241">
        <v>6.35</v>
      </c>
      <c r="AL71" s="241">
        <v>6.77</v>
      </c>
      <c r="AM71" s="241">
        <v>6.69</v>
      </c>
      <c r="AN71" s="241">
        <v>7.11</v>
      </c>
      <c r="AO71" s="241">
        <v>6.96</v>
      </c>
      <c r="AP71" s="241">
        <v>6.04</v>
      </c>
      <c r="AQ71" s="238">
        <v>6.72</v>
      </c>
      <c r="AR71" s="239">
        <v>6.51</v>
      </c>
      <c r="AS71" s="237">
        <v>2.46</v>
      </c>
      <c r="AT71" s="241">
        <v>2.116</v>
      </c>
      <c r="AU71" s="241">
        <v>2.37</v>
      </c>
      <c r="AV71" s="241">
        <v>2.19</v>
      </c>
      <c r="AW71" s="241">
        <v>2.23</v>
      </c>
      <c r="AX71" s="241">
        <v>2.24</v>
      </c>
      <c r="AY71" s="241">
        <v>2.23</v>
      </c>
      <c r="AZ71" s="241">
        <v>2.18</v>
      </c>
      <c r="BA71" s="238">
        <v>2.13</v>
      </c>
      <c r="BB71" s="239">
        <v>2.32</v>
      </c>
      <c r="BC71" s="237">
        <f t="shared" si="35"/>
        <v>2.6219512195121952</v>
      </c>
      <c r="BD71" s="238">
        <f t="shared" si="36"/>
        <v>3.0198487712665405</v>
      </c>
      <c r="BE71" s="238">
        <f t="shared" si="37"/>
        <v>2.679324894514768</v>
      </c>
      <c r="BF71" s="238">
        <f t="shared" si="38"/>
        <v>3.091324200913242</v>
      </c>
      <c r="BG71" s="238">
        <f t="shared" si="39"/>
        <v>3</v>
      </c>
      <c r="BH71" s="238">
        <f t="shared" si="40"/>
        <v>3.174107142857143</v>
      </c>
      <c r="BI71" s="238">
        <f t="shared" si="41"/>
        <v>3.1210762331838566</v>
      </c>
      <c r="BJ71" s="238">
        <f t="shared" si="42"/>
        <v>2.770642201834862</v>
      </c>
      <c r="BK71" s="238">
        <f t="shared" si="43"/>
        <v>3.154929577464789</v>
      </c>
      <c r="BL71" s="238">
        <f t="shared" si="44"/>
        <v>2.806034482758621</v>
      </c>
      <c r="BM71" s="373">
        <v>22.59</v>
      </c>
      <c r="BN71" s="373">
        <v>16.3</v>
      </c>
      <c r="BO71" s="374">
        <f t="shared" si="66"/>
        <v>0.7215582115980522</v>
      </c>
      <c r="BP71" s="373">
        <v>15.73</v>
      </c>
      <c r="BQ71" s="242">
        <f t="shared" si="65"/>
        <v>0.6963258078795928</v>
      </c>
      <c r="BS71" s="234"/>
    </row>
    <row r="72" spans="1:71" ht="15">
      <c r="A72" s="194">
        <v>1654</v>
      </c>
      <c r="B72" s="244" t="s">
        <v>192</v>
      </c>
      <c r="C72" s="236">
        <v>1</v>
      </c>
      <c r="D72" s="237">
        <v>9.3</v>
      </c>
      <c r="E72" s="238">
        <v>9.05</v>
      </c>
      <c r="F72" s="238">
        <v>8.64</v>
      </c>
      <c r="G72" s="238">
        <v>8.83</v>
      </c>
      <c r="H72" s="238">
        <v>9.17</v>
      </c>
      <c r="I72" s="238">
        <v>9.21</v>
      </c>
      <c r="J72" s="238">
        <v>8.66</v>
      </c>
      <c r="K72" s="238">
        <v>9.31</v>
      </c>
      <c r="L72" s="238">
        <v>9.05</v>
      </c>
      <c r="M72" s="239">
        <v>9.27</v>
      </c>
      <c r="N72" s="237">
        <v>2.75</v>
      </c>
      <c r="O72" s="238">
        <v>2.82</v>
      </c>
      <c r="P72" s="238">
        <v>2.57</v>
      </c>
      <c r="Q72" s="238">
        <v>2.89</v>
      </c>
      <c r="R72" s="238">
        <v>2.8</v>
      </c>
      <c r="S72" s="238">
        <v>2.84</v>
      </c>
      <c r="T72" s="238">
        <v>2.85</v>
      </c>
      <c r="U72" s="238">
        <v>2.79</v>
      </c>
      <c r="V72" s="238">
        <v>2.67</v>
      </c>
      <c r="W72" s="240">
        <v>2.85</v>
      </c>
      <c r="X72" s="237">
        <f t="shared" si="55"/>
        <v>3.3818181818181823</v>
      </c>
      <c r="Y72" s="238">
        <f t="shared" si="56"/>
        <v>3.209219858156029</v>
      </c>
      <c r="Z72" s="238">
        <f t="shared" si="57"/>
        <v>3.361867704280156</v>
      </c>
      <c r="AA72" s="238">
        <f t="shared" si="58"/>
        <v>3.055363321799308</v>
      </c>
      <c r="AB72" s="238">
        <f t="shared" si="59"/>
        <v>3.2750000000000004</v>
      </c>
      <c r="AC72" s="238">
        <f t="shared" si="60"/>
        <v>3.242957746478874</v>
      </c>
      <c r="AD72" s="238">
        <f t="shared" si="61"/>
        <v>3.0385964912280703</v>
      </c>
      <c r="AE72" s="238">
        <f t="shared" si="62"/>
        <v>3.3369175627240146</v>
      </c>
      <c r="AF72" s="238">
        <f t="shared" si="63"/>
        <v>3.3895131086142327</v>
      </c>
      <c r="AG72" s="239">
        <f t="shared" si="64"/>
        <v>3.2526315789473683</v>
      </c>
      <c r="AH72" s="244" t="s">
        <v>192</v>
      </c>
      <c r="AI72" s="237">
        <v>6.2</v>
      </c>
      <c r="AJ72" s="241">
        <v>6.42</v>
      </c>
      <c r="AK72" s="241">
        <v>6.82</v>
      </c>
      <c r="AL72" s="241">
        <v>6.73</v>
      </c>
      <c r="AM72" s="241">
        <v>6.71</v>
      </c>
      <c r="AN72" s="241">
        <v>6.83</v>
      </c>
      <c r="AO72" s="241">
        <v>6.71</v>
      </c>
      <c r="AP72" s="241">
        <v>6.77</v>
      </c>
      <c r="AQ72" s="238">
        <v>6.78</v>
      </c>
      <c r="AR72" s="239">
        <v>6.34</v>
      </c>
      <c r="AS72" s="237">
        <v>2.49</v>
      </c>
      <c r="AT72" s="241">
        <v>2.52</v>
      </c>
      <c r="AU72" s="241">
        <v>2.55</v>
      </c>
      <c r="AV72" s="241">
        <v>2.55</v>
      </c>
      <c r="AW72" s="241">
        <v>2.33</v>
      </c>
      <c r="AX72" s="241">
        <v>2.37</v>
      </c>
      <c r="AY72" s="241">
        <v>2.48</v>
      </c>
      <c r="AZ72" s="241">
        <v>2.53</v>
      </c>
      <c r="BA72" s="238">
        <v>2.36</v>
      </c>
      <c r="BB72" s="239">
        <v>2.48</v>
      </c>
      <c r="BC72" s="237">
        <f t="shared" si="35"/>
        <v>2.4899598393574296</v>
      </c>
      <c r="BD72" s="238">
        <f t="shared" si="36"/>
        <v>2.5476190476190474</v>
      </c>
      <c r="BE72" s="238">
        <f t="shared" si="37"/>
        <v>2.674509803921569</v>
      </c>
      <c r="BF72" s="238">
        <f t="shared" si="38"/>
        <v>2.63921568627451</v>
      </c>
      <c r="BG72" s="238">
        <f t="shared" si="39"/>
        <v>2.8798283261802573</v>
      </c>
      <c r="BH72" s="238">
        <f t="shared" si="40"/>
        <v>2.8818565400843883</v>
      </c>
      <c r="BI72" s="238">
        <f t="shared" si="41"/>
        <v>2.7056451612903225</v>
      </c>
      <c r="BJ72" s="238">
        <f t="shared" si="42"/>
        <v>2.675889328063241</v>
      </c>
      <c r="BK72" s="238">
        <f t="shared" si="43"/>
        <v>2.8728813559322037</v>
      </c>
      <c r="BL72" s="238">
        <f t="shared" si="44"/>
        <v>2.556451612903226</v>
      </c>
      <c r="BM72" s="373">
        <v>26.49</v>
      </c>
      <c r="BN72" s="373">
        <v>19.04</v>
      </c>
      <c r="BO72" s="374">
        <f t="shared" si="66"/>
        <v>0.7187617969044923</v>
      </c>
      <c r="BP72" s="373">
        <v>12.559999999999999</v>
      </c>
      <c r="BQ72" s="242">
        <f t="shared" si="65"/>
        <v>0.47414118535296335</v>
      </c>
      <c r="BS72" s="234"/>
    </row>
    <row r="73" spans="1:71" ht="15">
      <c r="A73" s="194">
        <v>1655</v>
      </c>
      <c r="B73" s="244" t="s">
        <v>193</v>
      </c>
      <c r="C73" s="236">
        <v>1</v>
      </c>
      <c r="D73" s="237">
        <v>10.26</v>
      </c>
      <c r="E73" s="238">
        <v>8.73</v>
      </c>
      <c r="F73" s="238">
        <v>9.21</v>
      </c>
      <c r="G73" s="238">
        <v>9.53</v>
      </c>
      <c r="H73" s="238">
        <v>9.64</v>
      </c>
      <c r="I73" s="238">
        <v>9.6</v>
      </c>
      <c r="J73" s="238">
        <v>8.64</v>
      </c>
      <c r="K73" s="238">
        <v>9.47</v>
      </c>
      <c r="L73" s="238">
        <v>10.08</v>
      </c>
      <c r="M73" s="239">
        <v>8.79</v>
      </c>
      <c r="N73" s="237">
        <v>2.65</v>
      </c>
      <c r="O73" s="238">
        <v>2.56</v>
      </c>
      <c r="P73" s="238">
        <v>2.99</v>
      </c>
      <c r="Q73" s="238">
        <v>2.61</v>
      </c>
      <c r="R73" s="238">
        <v>2.9</v>
      </c>
      <c r="S73" s="238">
        <v>2.6</v>
      </c>
      <c r="T73" s="238">
        <v>2.83</v>
      </c>
      <c r="U73" s="238">
        <v>2.71</v>
      </c>
      <c r="V73" s="238">
        <v>2.61</v>
      </c>
      <c r="W73" s="240">
        <v>2.65</v>
      </c>
      <c r="X73" s="237">
        <f t="shared" si="55"/>
        <v>3.871698113207547</v>
      </c>
      <c r="Y73" s="238">
        <f t="shared" si="56"/>
        <v>3.41015625</v>
      </c>
      <c r="Z73" s="238">
        <f t="shared" si="57"/>
        <v>3.080267558528428</v>
      </c>
      <c r="AA73" s="238">
        <f t="shared" si="58"/>
        <v>3.651340996168582</v>
      </c>
      <c r="AB73" s="238">
        <f t="shared" si="59"/>
        <v>3.324137931034483</v>
      </c>
      <c r="AC73" s="238">
        <f t="shared" si="60"/>
        <v>3.692307692307692</v>
      </c>
      <c r="AD73" s="238">
        <f t="shared" si="61"/>
        <v>3.0530035335689045</v>
      </c>
      <c r="AE73" s="238">
        <f t="shared" si="62"/>
        <v>3.494464944649447</v>
      </c>
      <c r="AF73" s="238">
        <f t="shared" si="63"/>
        <v>3.8620689655172415</v>
      </c>
      <c r="AG73" s="239">
        <f t="shared" si="64"/>
        <v>3.3169811320754716</v>
      </c>
      <c r="AH73" s="244" t="s">
        <v>193</v>
      </c>
      <c r="AI73" s="237">
        <v>6.98</v>
      </c>
      <c r="AJ73" s="241">
        <v>6.68</v>
      </c>
      <c r="AK73" s="241">
        <v>7.29</v>
      </c>
      <c r="AL73" s="241">
        <v>6.7</v>
      </c>
      <c r="AM73" s="241">
        <v>6.77</v>
      </c>
      <c r="AN73" s="241">
        <v>6.96</v>
      </c>
      <c r="AO73" s="241">
        <v>7.45</v>
      </c>
      <c r="AP73" s="241">
        <v>7.31</v>
      </c>
      <c r="AQ73" s="238">
        <v>6.89</v>
      </c>
      <c r="AR73" s="239">
        <v>7.03</v>
      </c>
      <c r="AS73" s="237">
        <v>2.28</v>
      </c>
      <c r="AT73" s="241">
        <v>2.26</v>
      </c>
      <c r="AU73" s="241">
        <v>2.21</v>
      </c>
      <c r="AV73" s="241">
        <v>2.31</v>
      </c>
      <c r="AW73" s="241">
        <v>2.32</v>
      </c>
      <c r="AX73" s="241">
        <v>2.34</v>
      </c>
      <c r="AY73" s="241">
        <v>2.32</v>
      </c>
      <c r="AZ73" s="241">
        <v>2.37</v>
      </c>
      <c r="BA73" s="238">
        <v>2.36</v>
      </c>
      <c r="BB73" s="239">
        <v>2.34</v>
      </c>
      <c r="BC73" s="237">
        <f t="shared" si="35"/>
        <v>3.0614035087719302</v>
      </c>
      <c r="BD73" s="238">
        <f t="shared" si="36"/>
        <v>2.9557522123893807</v>
      </c>
      <c r="BE73" s="238">
        <f t="shared" si="37"/>
        <v>3.298642533936652</v>
      </c>
      <c r="BF73" s="238">
        <f t="shared" si="38"/>
        <v>2.9004329004329006</v>
      </c>
      <c r="BG73" s="238">
        <f t="shared" si="39"/>
        <v>2.918103448275862</v>
      </c>
      <c r="BH73" s="238">
        <f t="shared" si="40"/>
        <v>2.9743589743589745</v>
      </c>
      <c r="BI73" s="238">
        <f t="shared" si="41"/>
        <v>3.2112068965517246</v>
      </c>
      <c r="BJ73" s="238">
        <f t="shared" si="42"/>
        <v>3.0843881856540083</v>
      </c>
      <c r="BK73" s="238">
        <f t="shared" si="43"/>
        <v>2.919491525423729</v>
      </c>
      <c r="BL73" s="238">
        <f t="shared" si="44"/>
        <v>3.0042735042735047</v>
      </c>
      <c r="BM73" s="373">
        <v>22.32</v>
      </c>
      <c r="BN73" s="373">
        <v>14.95</v>
      </c>
      <c r="BO73" s="374">
        <f t="shared" si="66"/>
        <v>0.6698028673835125</v>
      </c>
      <c r="BP73" s="373">
        <v>14.09</v>
      </c>
      <c r="BQ73" s="242">
        <f t="shared" si="65"/>
        <v>0.6312724014336918</v>
      </c>
      <c r="BS73" s="234"/>
    </row>
    <row r="74" spans="1:71" ht="15">
      <c r="A74" s="194">
        <v>1656</v>
      </c>
      <c r="B74" s="244" t="s">
        <v>194</v>
      </c>
      <c r="C74" s="236">
        <v>1</v>
      </c>
      <c r="D74" s="237">
        <v>10.27</v>
      </c>
      <c r="E74" s="238">
        <v>10.5</v>
      </c>
      <c r="F74" s="238">
        <v>9.83</v>
      </c>
      <c r="G74" s="238">
        <v>10.23</v>
      </c>
      <c r="H74" s="238">
        <v>9.04</v>
      </c>
      <c r="I74" s="238">
        <v>9.36</v>
      </c>
      <c r="J74" s="238">
        <v>10.21</v>
      </c>
      <c r="K74" s="238">
        <v>9.25</v>
      </c>
      <c r="L74" s="238">
        <v>9.44</v>
      </c>
      <c r="M74" s="239">
        <v>9.19</v>
      </c>
      <c r="N74" s="237">
        <v>2.46</v>
      </c>
      <c r="O74" s="238">
        <v>2.53</v>
      </c>
      <c r="P74" s="238">
        <v>2.5</v>
      </c>
      <c r="Q74" s="238">
        <v>2.35</v>
      </c>
      <c r="R74" s="238">
        <v>2.34</v>
      </c>
      <c r="S74" s="238">
        <v>2.52</v>
      </c>
      <c r="T74" s="238">
        <v>2.55</v>
      </c>
      <c r="U74" s="238">
        <v>2.42</v>
      </c>
      <c r="V74" s="238">
        <v>2.38</v>
      </c>
      <c r="W74" s="240">
        <v>2.17</v>
      </c>
      <c r="X74" s="237">
        <f t="shared" si="55"/>
        <v>4.17479674796748</v>
      </c>
      <c r="Y74" s="238">
        <f t="shared" si="56"/>
        <v>4.150197628458498</v>
      </c>
      <c r="Z74" s="238">
        <f t="shared" si="57"/>
        <v>3.932</v>
      </c>
      <c r="AA74" s="238">
        <f t="shared" si="58"/>
        <v>4.353191489361702</v>
      </c>
      <c r="AB74" s="238">
        <f t="shared" si="59"/>
        <v>3.8632478632478633</v>
      </c>
      <c r="AC74" s="238">
        <f t="shared" si="60"/>
        <v>3.714285714285714</v>
      </c>
      <c r="AD74" s="238">
        <f t="shared" si="61"/>
        <v>4.003921568627452</v>
      </c>
      <c r="AE74" s="238">
        <f t="shared" si="62"/>
        <v>3.822314049586777</v>
      </c>
      <c r="AF74" s="238">
        <f t="shared" si="63"/>
        <v>3.966386554621849</v>
      </c>
      <c r="AG74" s="239">
        <f t="shared" si="64"/>
        <v>4.235023041474654</v>
      </c>
      <c r="AH74" s="244" t="s">
        <v>194</v>
      </c>
      <c r="AI74" s="237">
        <v>7.33</v>
      </c>
      <c r="AJ74" s="241">
        <v>7.17</v>
      </c>
      <c r="AK74" s="241">
        <v>6.89</v>
      </c>
      <c r="AL74" s="241">
        <v>6.9</v>
      </c>
      <c r="AM74" s="241">
        <v>7.36</v>
      </c>
      <c r="AN74" s="241">
        <v>7.03</v>
      </c>
      <c r="AO74" s="241">
        <v>7.26</v>
      </c>
      <c r="AP74" s="241">
        <v>7.41</v>
      </c>
      <c r="AQ74" s="238">
        <v>7.25</v>
      </c>
      <c r="AR74" s="239">
        <v>7.17</v>
      </c>
      <c r="AS74" s="237">
        <v>2</v>
      </c>
      <c r="AT74" s="241">
        <v>2.17</v>
      </c>
      <c r="AU74" s="241">
        <v>2.17</v>
      </c>
      <c r="AV74" s="241">
        <v>2.07</v>
      </c>
      <c r="AW74" s="241">
        <v>2.12</v>
      </c>
      <c r="AX74" s="241">
        <v>1.96</v>
      </c>
      <c r="AY74" s="241">
        <v>2.08</v>
      </c>
      <c r="AZ74" s="241">
        <v>2.14</v>
      </c>
      <c r="BA74" s="238">
        <v>2.14</v>
      </c>
      <c r="BB74" s="239">
        <v>2.16</v>
      </c>
      <c r="BC74" s="237">
        <f t="shared" si="35"/>
        <v>3.665</v>
      </c>
      <c r="BD74" s="238">
        <f t="shared" si="36"/>
        <v>3.3041474654377883</v>
      </c>
      <c r="BE74" s="238">
        <f t="shared" si="37"/>
        <v>3.175115207373272</v>
      </c>
      <c r="BF74" s="238">
        <f t="shared" si="38"/>
        <v>3.333333333333334</v>
      </c>
      <c r="BG74" s="238">
        <f t="shared" si="39"/>
        <v>3.4716981132075473</v>
      </c>
      <c r="BH74" s="238">
        <f t="shared" si="40"/>
        <v>3.5867346938775513</v>
      </c>
      <c r="BI74" s="238">
        <f t="shared" si="41"/>
        <v>3.490384615384615</v>
      </c>
      <c r="BJ74" s="238">
        <f t="shared" si="42"/>
        <v>3.4626168224299065</v>
      </c>
      <c r="BK74" s="238">
        <f t="shared" si="43"/>
        <v>3.3878504672897196</v>
      </c>
      <c r="BL74" s="238">
        <f t="shared" si="44"/>
        <v>3.319444444444444</v>
      </c>
      <c r="BM74" s="373">
        <v>23.1</v>
      </c>
      <c r="BN74" s="373">
        <v>16.42</v>
      </c>
      <c r="BO74" s="374">
        <f t="shared" si="66"/>
        <v>0.7108225108225108</v>
      </c>
      <c r="BP74" s="373">
        <v>14.56</v>
      </c>
      <c r="BQ74" s="242">
        <f t="shared" si="65"/>
        <v>0.6303030303030303</v>
      </c>
      <c r="BS74" s="234"/>
    </row>
    <row r="75" spans="1:71" ht="15">
      <c r="A75" s="196">
        <v>675</v>
      </c>
      <c r="B75" s="244" t="s">
        <v>195</v>
      </c>
      <c r="C75" s="236">
        <v>1</v>
      </c>
      <c r="D75" s="237">
        <v>9.51</v>
      </c>
      <c r="E75" s="238">
        <v>10.44</v>
      </c>
      <c r="F75" s="238">
        <v>9.77</v>
      </c>
      <c r="G75" s="238">
        <v>9.29</v>
      </c>
      <c r="H75" s="238">
        <v>9.42</v>
      </c>
      <c r="I75" s="238">
        <v>9.33</v>
      </c>
      <c r="J75" s="238">
        <v>9.06</v>
      </c>
      <c r="K75" s="238">
        <v>9.78</v>
      </c>
      <c r="L75" s="238">
        <v>10.14</v>
      </c>
      <c r="M75" s="239">
        <v>10.28</v>
      </c>
      <c r="N75" s="237">
        <v>2.42</v>
      </c>
      <c r="O75" s="238">
        <v>2.53</v>
      </c>
      <c r="P75" s="238">
        <v>2.42</v>
      </c>
      <c r="Q75" s="238">
        <v>2.59</v>
      </c>
      <c r="R75" s="238">
        <v>2.26</v>
      </c>
      <c r="S75" s="238">
        <v>2.39</v>
      </c>
      <c r="T75" s="238">
        <v>2.79</v>
      </c>
      <c r="U75" s="238">
        <v>2.71</v>
      </c>
      <c r="V75" s="238">
        <v>2.67</v>
      </c>
      <c r="W75" s="240">
        <v>2.48</v>
      </c>
      <c r="X75" s="237">
        <f aca="true" t="shared" si="67" ref="X75:X98">D75/N75</f>
        <v>3.9297520661157024</v>
      </c>
      <c r="Y75" s="238">
        <f aca="true" t="shared" si="68" ref="Y75:Y98">E75/O75</f>
        <v>4.126482213438735</v>
      </c>
      <c r="Z75" s="238">
        <f aca="true" t="shared" si="69" ref="Z75:Z98">F75/P75</f>
        <v>4.037190082644628</v>
      </c>
      <c r="AA75" s="238">
        <f aca="true" t="shared" si="70" ref="AA75:AA98">G75/Q75</f>
        <v>3.5868725868725866</v>
      </c>
      <c r="AB75" s="238">
        <f aca="true" t="shared" si="71" ref="AB75:AB98">H75/R75</f>
        <v>4.168141592920354</v>
      </c>
      <c r="AC75" s="238">
        <f aca="true" t="shared" si="72" ref="AC75:AC98">I75/S75</f>
        <v>3.9037656903765687</v>
      </c>
      <c r="AD75" s="238">
        <f aca="true" t="shared" si="73" ref="AD75:AD98">J75/T75</f>
        <v>3.2473118279569895</v>
      </c>
      <c r="AE75" s="238">
        <f aca="true" t="shared" si="74" ref="AE75:AE98">K75/U75</f>
        <v>3.6088560885608856</v>
      </c>
      <c r="AF75" s="238">
        <f aca="true" t="shared" si="75" ref="AF75:AF98">L75/V75</f>
        <v>3.7977528089887644</v>
      </c>
      <c r="AG75" s="239">
        <f aca="true" t="shared" si="76" ref="AG75:AG100">M75/W75</f>
        <v>4.14516129032258</v>
      </c>
      <c r="AH75" s="244" t="s">
        <v>195</v>
      </c>
      <c r="AI75" s="237">
        <v>7.66</v>
      </c>
      <c r="AJ75" s="241">
        <v>7.19</v>
      </c>
      <c r="AK75" s="241">
        <v>7.76</v>
      </c>
      <c r="AL75" s="241">
        <v>7.91</v>
      </c>
      <c r="AM75" s="241">
        <v>7.07</v>
      </c>
      <c r="AN75" s="241">
        <v>7.74</v>
      </c>
      <c r="AO75" s="241">
        <v>6.98</v>
      </c>
      <c r="AP75" s="241">
        <v>7.83</v>
      </c>
      <c r="AQ75" s="238">
        <v>7.68</v>
      </c>
      <c r="AR75" s="239">
        <v>7.6</v>
      </c>
      <c r="AS75" s="237">
        <v>2.37</v>
      </c>
      <c r="AT75" s="241">
        <v>2.2</v>
      </c>
      <c r="AU75" s="241">
        <v>2.28</v>
      </c>
      <c r="AV75" s="241">
        <v>2.36</v>
      </c>
      <c r="AW75" s="241">
        <v>2.28</v>
      </c>
      <c r="AX75" s="241">
        <v>2.27</v>
      </c>
      <c r="AY75" s="241">
        <v>2.21</v>
      </c>
      <c r="AZ75" s="241">
        <v>2.2</v>
      </c>
      <c r="BA75" s="238">
        <v>2.36</v>
      </c>
      <c r="BB75" s="239">
        <v>2.25</v>
      </c>
      <c r="BC75" s="237">
        <f>AI75/AS75</f>
        <v>3.2320675105485233</v>
      </c>
      <c r="BD75" s="238">
        <f t="shared" si="36"/>
        <v>3.268181818181818</v>
      </c>
      <c r="BE75" s="238">
        <f t="shared" si="37"/>
        <v>3.403508771929825</v>
      </c>
      <c r="BF75" s="238">
        <f t="shared" si="38"/>
        <v>3.3516949152542375</v>
      </c>
      <c r="BG75" s="238">
        <f t="shared" si="39"/>
        <v>3.1008771929824563</v>
      </c>
      <c r="BH75" s="238">
        <f t="shared" si="40"/>
        <v>3.409691629955947</v>
      </c>
      <c r="BI75" s="238">
        <f t="shared" si="41"/>
        <v>3.1583710407239822</v>
      </c>
      <c r="BJ75" s="238">
        <f t="shared" si="42"/>
        <v>3.5590909090909086</v>
      </c>
      <c r="BK75" s="238">
        <f t="shared" si="43"/>
        <v>3.2542372881355934</v>
      </c>
      <c r="BL75" s="238">
        <f t="shared" si="44"/>
        <v>3.3777777777777778</v>
      </c>
      <c r="BM75" s="373">
        <v>23.69</v>
      </c>
      <c r="BN75" s="373">
        <v>16.7</v>
      </c>
      <c r="BO75" s="374">
        <f t="shared" si="66"/>
        <v>0.7049387927395525</v>
      </c>
      <c r="BP75" s="373">
        <v>14.91</v>
      </c>
      <c r="BQ75" s="242">
        <f t="shared" si="65"/>
        <v>0.6293794850147741</v>
      </c>
      <c r="BS75" s="234"/>
    </row>
    <row r="76" spans="1:71" ht="15">
      <c r="A76" s="194">
        <v>1658</v>
      </c>
      <c r="B76" s="244" t="s">
        <v>196</v>
      </c>
      <c r="C76" s="236">
        <v>1</v>
      </c>
      <c r="D76" s="237">
        <v>10.05</v>
      </c>
      <c r="E76" s="238">
        <v>9.75</v>
      </c>
      <c r="F76" s="238">
        <v>10.41</v>
      </c>
      <c r="G76" s="238">
        <v>10.38</v>
      </c>
      <c r="H76" s="238">
        <v>10.11</v>
      </c>
      <c r="I76" s="238">
        <v>9.57</v>
      </c>
      <c r="J76" s="238">
        <v>10.62</v>
      </c>
      <c r="K76" s="238">
        <v>10.07</v>
      </c>
      <c r="L76" s="238">
        <v>8.96</v>
      </c>
      <c r="M76" s="239">
        <v>9.76</v>
      </c>
      <c r="N76" s="237">
        <v>2.54</v>
      </c>
      <c r="O76" s="241">
        <v>2.79</v>
      </c>
      <c r="P76" s="238">
        <v>2.71</v>
      </c>
      <c r="Q76" s="238">
        <v>2.74</v>
      </c>
      <c r="R76" s="238">
        <v>2.74</v>
      </c>
      <c r="S76" s="238">
        <v>2.66</v>
      </c>
      <c r="T76" s="238">
        <v>2.71</v>
      </c>
      <c r="U76" s="238">
        <v>2.95</v>
      </c>
      <c r="V76" s="238">
        <v>3.12</v>
      </c>
      <c r="W76" s="240">
        <v>2.48</v>
      </c>
      <c r="X76" s="237">
        <f t="shared" si="67"/>
        <v>3.956692913385827</v>
      </c>
      <c r="Y76" s="238">
        <f t="shared" si="68"/>
        <v>3.4946236559139785</v>
      </c>
      <c r="Z76" s="238">
        <f t="shared" si="69"/>
        <v>3.841328413284133</v>
      </c>
      <c r="AA76" s="238">
        <f t="shared" si="70"/>
        <v>3.7883211678832116</v>
      </c>
      <c r="AB76" s="238">
        <f t="shared" si="71"/>
        <v>3.6897810218978098</v>
      </c>
      <c r="AC76" s="238">
        <f t="shared" si="72"/>
        <v>3.5977443609022557</v>
      </c>
      <c r="AD76" s="238">
        <f t="shared" si="73"/>
        <v>3.9188191881918817</v>
      </c>
      <c r="AE76" s="238">
        <f t="shared" si="74"/>
        <v>3.413559322033898</v>
      </c>
      <c r="AF76" s="238">
        <f t="shared" si="75"/>
        <v>2.871794871794872</v>
      </c>
      <c r="AG76" s="239">
        <f t="shared" si="76"/>
        <v>3.935483870967742</v>
      </c>
      <c r="AH76" s="244" t="s">
        <v>196</v>
      </c>
      <c r="AI76" s="237">
        <v>7.67</v>
      </c>
      <c r="AJ76" s="241">
        <v>7.5</v>
      </c>
      <c r="AK76" s="241">
        <v>7.03</v>
      </c>
      <c r="AL76" s="241">
        <v>7.42</v>
      </c>
      <c r="AM76" s="241">
        <v>6.92</v>
      </c>
      <c r="AN76" s="241">
        <v>7.32</v>
      </c>
      <c r="AO76" s="241">
        <v>6.889</v>
      </c>
      <c r="AP76" s="241">
        <v>7.22</v>
      </c>
      <c r="AQ76" s="238">
        <v>7.17</v>
      </c>
      <c r="AR76" s="239">
        <v>7.23</v>
      </c>
      <c r="AS76" s="237">
        <v>2.34</v>
      </c>
      <c r="AT76" s="241">
        <v>2.27</v>
      </c>
      <c r="AU76" s="241">
        <v>2.64</v>
      </c>
      <c r="AV76" s="241">
        <v>2.29</v>
      </c>
      <c r="AW76" s="241">
        <v>2.29</v>
      </c>
      <c r="AX76" s="241">
        <v>2.29</v>
      </c>
      <c r="AY76" s="241">
        <v>2.34</v>
      </c>
      <c r="AZ76" s="241">
        <v>2.41</v>
      </c>
      <c r="BA76" s="238">
        <v>2.42</v>
      </c>
      <c r="BB76" s="239">
        <v>2.21</v>
      </c>
      <c r="BC76" s="237">
        <f t="shared" si="35"/>
        <v>3.277777777777778</v>
      </c>
      <c r="BD76" s="238">
        <f t="shared" si="36"/>
        <v>3.303964757709251</v>
      </c>
      <c r="BE76" s="238">
        <f t="shared" si="37"/>
        <v>2.662878787878788</v>
      </c>
      <c r="BF76" s="238">
        <f t="shared" si="38"/>
        <v>3.2401746724890828</v>
      </c>
      <c r="BG76" s="238">
        <f t="shared" si="39"/>
        <v>3.021834061135371</v>
      </c>
      <c r="BH76" s="238">
        <f t="shared" si="40"/>
        <v>3.1965065502183405</v>
      </c>
      <c r="BI76" s="238">
        <f t="shared" si="41"/>
        <v>2.944017094017094</v>
      </c>
      <c r="BJ76" s="238">
        <f t="shared" si="42"/>
        <v>2.9958506224066386</v>
      </c>
      <c r="BK76" s="238">
        <f t="shared" si="43"/>
        <v>2.962809917355372</v>
      </c>
      <c r="BL76" s="238">
        <f t="shared" si="44"/>
        <v>3.2714932126696836</v>
      </c>
      <c r="BM76" s="373">
        <v>27.18</v>
      </c>
      <c r="BN76" s="373">
        <v>19.72</v>
      </c>
      <c r="BO76" s="374">
        <f t="shared" si="66"/>
        <v>0.7255334805003679</v>
      </c>
      <c r="BP76" s="373">
        <v>17.560000000000002</v>
      </c>
      <c r="BQ76" s="242">
        <f t="shared" si="65"/>
        <v>0.6460632818248713</v>
      </c>
      <c r="BS76" s="234"/>
    </row>
    <row r="77" spans="1:71" ht="15">
      <c r="A77" s="194">
        <v>1659</v>
      </c>
      <c r="B77" s="244" t="s">
        <v>197</v>
      </c>
      <c r="C77" s="236">
        <v>1</v>
      </c>
      <c r="D77" s="237">
        <v>9.45</v>
      </c>
      <c r="E77" s="238">
        <v>9.35</v>
      </c>
      <c r="F77" s="238">
        <v>9.77</v>
      </c>
      <c r="G77" s="238">
        <v>9.72</v>
      </c>
      <c r="H77" s="238">
        <v>9.79</v>
      </c>
      <c r="I77" s="238">
        <v>9.77</v>
      </c>
      <c r="J77" s="238">
        <v>9.83</v>
      </c>
      <c r="K77" s="238">
        <v>9.35</v>
      </c>
      <c r="L77" s="238">
        <v>9.42</v>
      </c>
      <c r="M77" s="239">
        <v>9.04</v>
      </c>
      <c r="N77" s="237">
        <v>2.7</v>
      </c>
      <c r="O77" s="238">
        <v>2.5</v>
      </c>
      <c r="P77" s="238">
        <v>2.56</v>
      </c>
      <c r="Q77" s="238">
        <v>2.62</v>
      </c>
      <c r="R77" s="238">
        <v>2.43</v>
      </c>
      <c r="S77" s="238">
        <v>2.48</v>
      </c>
      <c r="T77" s="238">
        <v>2.45</v>
      </c>
      <c r="U77" s="238">
        <v>2.54</v>
      </c>
      <c r="V77" s="238">
        <v>2.58</v>
      </c>
      <c r="W77" s="240">
        <v>2.5</v>
      </c>
      <c r="X77" s="237">
        <f t="shared" si="67"/>
        <v>3.4999999999999996</v>
      </c>
      <c r="Y77" s="238">
        <f t="shared" si="68"/>
        <v>3.7399999999999998</v>
      </c>
      <c r="Z77" s="238">
        <f t="shared" si="69"/>
        <v>3.8164062499999996</v>
      </c>
      <c r="AA77" s="238">
        <f t="shared" si="70"/>
        <v>3.7099236641221376</v>
      </c>
      <c r="AB77" s="238">
        <f t="shared" si="71"/>
        <v>4.0288065843621395</v>
      </c>
      <c r="AC77" s="238">
        <f t="shared" si="72"/>
        <v>3.939516129032258</v>
      </c>
      <c r="AD77" s="238">
        <f t="shared" si="73"/>
        <v>4.012244897959183</v>
      </c>
      <c r="AE77" s="238">
        <f t="shared" si="74"/>
        <v>3.681102362204724</v>
      </c>
      <c r="AF77" s="238">
        <f t="shared" si="75"/>
        <v>3.6511627906976742</v>
      </c>
      <c r="AG77" s="239">
        <f t="shared" si="76"/>
        <v>3.6159999999999997</v>
      </c>
      <c r="AH77" s="244" t="s">
        <v>197</v>
      </c>
      <c r="AI77" s="237">
        <v>6.96</v>
      </c>
      <c r="AJ77" s="241">
        <v>7.23</v>
      </c>
      <c r="AK77" s="241">
        <v>7.33</v>
      </c>
      <c r="AL77" s="241">
        <v>7.03</v>
      </c>
      <c r="AM77" s="241">
        <v>6.96</v>
      </c>
      <c r="AN77" s="241">
        <v>7.32</v>
      </c>
      <c r="AO77" s="241">
        <v>7.18</v>
      </c>
      <c r="AP77" s="241">
        <v>7.23</v>
      </c>
      <c r="AQ77" s="238">
        <v>7.32</v>
      </c>
      <c r="AR77" s="239">
        <v>7.54</v>
      </c>
      <c r="AS77" s="237">
        <v>2.17</v>
      </c>
      <c r="AT77" s="241">
        <v>2.18</v>
      </c>
      <c r="AU77" s="241">
        <v>2.22</v>
      </c>
      <c r="AV77" s="241">
        <v>2.16</v>
      </c>
      <c r="AW77" s="241">
        <v>2.08</v>
      </c>
      <c r="AX77" s="241">
        <v>2.21</v>
      </c>
      <c r="AY77" s="241">
        <v>2.2</v>
      </c>
      <c r="AZ77" s="241">
        <v>2.28</v>
      </c>
      <c r="BA77" s="238">
        <v>2.26</v>
      </c>
      <c r="BB77" s="239">
        <v>2.16</v>
      </c>
      <c r="BC77" s="237">
        <f t="shared" si="35"/>
        <v>3.207373271889401</v>
      </c>
      <c r="BD77" s="238">
        <f t="shared" si="36"/>
        <v>3.3165137614678897</v>
      </c>
      <c r="BE77" s="238">
        <f t="shared" si="37"/>
        <v>3.3018018018018016</v>
      </c>
      <c r="BF77" s="238">
        <f t="shared" si="38"/>
        <v>3.2546296296296293</v>
      </c>
      <c r="BG77" s="238">
        <f t="shared" si="39"/>
        <v>3.346153846153846</v>
      </c>
      <c r="BH77" s="238">
        <f t="shared" si="40"/>
        <v>3.312217194570136</v>
      </c>
      <c r="BI77" s="238">
        <f t="shared" si="41"/>
        <v>3.2636363636363632</v>
      </c>
      <c r="BJ77" s="238">
        <f t="shared" si="42"/>
        <v>3.171052631578948</v>
      </c>
      <c r="BK77" s="238">
        <f t="shared" si="43"/>
        <v>3.2389380530973457</v>
      </c>
      <c r="BL77" s="238">
        <f t="shared" si="44"/>
        <v>3.4907407407407405</v>
      </c>
      <c r="BM77" s="373">
        <v>23.32</v>
      </c>
      <c r="BN77" s="373">
        <v>16.36</v>
      </c>
      <c r="BO77" s="374">
        <f t="shared" si="66"/>
        <v>0.7015437392795884</v>
      </c>
      <c r="BP77" s="373">
        <v>13.88</v>
      </c>
      <c r="BQ77" s="242">
        <f t="shared" si="65"/>
        <v>0.5951972555746141</v>
      </c>
      <c r="BS77" s="234"/>
    </row>
    <row r="78" spans="1:71" ht="15">
      <c r="A78" s="194">
        <v>1660</v>
      </c>
      <c r="B78" s="244" t="s">
        <v>198</v>
      </c>
      <c r="C78" s="236">
        <v>1</v>
      </c>
      <c r="D78" s="237">
        <v>10.33</v>
      </c>
      <c r="E78" s="238">
        <v>9.07</v>
      </c>
      <c r="F78" s="238">
        <v>8.79</v>
      </c>
      <c r="G78" s="238">
        <v>9.04</v>
      </c>
      <c r="H78" s="238">
        <v>10.02</v>
      </c>
      <c r="I78" s="238">
        <v>9.63</v>
      </c>
      <c r="J78" s="238">
        <v>9.83</v>
      </c>
      <c r="K78" s="238">
        <v>9.14</v>
      </c>
      <c r="L78" s="238">
        <v>9.4</v>
      </c>
      <c r="M78" s="239">
        <v>8.4</v>
      </c>
      <c r="N78" s="237">
        <v>2.52</v>
      </c>
      <c r="O78" s="238">
        <v>2.57</v>
      </c>
      <c r="P78" s="238">
        <v>2.52</v>
      </c>
      <c r="Q78" s="238">
        <v>2.64</v>
      </c>
      <c r="R78" s="238">
        <v>2.59</v>
      </c>
      <c r="S78" s="238">
        <v>2.91</v>
      </c>
      <c r="T78" s="238">
        <v>2.62</v>
      </c>
      <c r="U78" s="238">
        <v>2.62</v>
      </c>
      <c r="V78" s="238">
        <v>2.65</v>
      </c>
      <c r="W78" s="240">
        <v>2.48</v>
      </c>
      <c r="X78" s="237">
        <f t="shared" si="67"/>
        <v>4.099206349206349</v>
      </c>
      <c r="Y78" s="238">
        <f t="shared" si="68"/>
        <v>3.5291828793774322</v>
      </c>
      <c r="Z78" s="238">
        <f t="shared" si="69"/>
        <v>3.4880952380952377</v>
      </c>
      <c r="AA78" s="238">
        <f t="shared" si="70"/>
        <v>3.424242424242424</v>
      </c>
      <c r="AB78" s="238">
        <f t="shared" si="71"/>
        <v>3.868725868725869</v>
      </c>
      <c r="AC78" s="238">
        <f t="shared" si="72"/>
        <v>3.309278350515464</v>
      </c>
      <c r="AD78" s="238">
        <f t="shared" si="73"/>
        <v>3.7519083969465647</v>
      </c>
      <c r="AE78" s="238">
        <f t="shared" si="74"/>
        <v>3.4885496183206106</v>
      </c>
      <c r="AF78" s="238">
        <f t="shared" si="75"/>
        <v>3.547169811320755</v>
      </c>
      <c r="AG78" s="239">
        <f t="shared" si="76"/>
        <v>3.3870967741935485</v>
      </c>
      <c r="AH78" s="244" t="s">
        <v>198</v>
      </c>
      <c r="AI78" s="237">
        <v>7.18</v>
      </c>
      <c r="AJ78" s="241">
        <v>7.52</v>
      </c>
      <c r="AK78" s="241">
        <v>7.08</v>
      </c>
      <c r="AL78" s="241">
        <v>7.07</v>
      </c>
      <c r="AM78" s="241">
        <v>6.76</v>
      </c>
      <c r="AN78" s="241">
        <v>7.22</v>
      </c>
      <c r="AO78" s="241">
        <v>7.43</v>
      </c>
      <c r="AP78" s="241">
        <v>7.44</v>
      </c>
      <c r="AQ78" s="238">
        <v>6.47</v>
      </c>
      <c r="AR78" s="239">
        <v>7.56</v>
      </c>
      <c r="AS78" s="237">
        <v>2.23</v>
      </c>
      <c r="AT78" s="241">
        <v>2.26</v>
      </c>
      <c r="AU78" s="241">
        <v>2.15</v>
      </c>
      <c r="AV78" s="241">
        <v>2.33</v>
      </c>
      <c r="AW78" s="241">
        <v>2.26</v>
      </c>
      <c r="AX78" s="241">
        <v>2.16</v>
      </c>
      <c r="AY78" s="241">
        <v>2.26</v>
      </c>
      <c r="AZ78" s="241">
        <v>2.23</v>
      </c>
      <c r="BA78" s="238">
        <v>1.92</v>
      </c>
      <c r="BB78" s="239">
        <v>2.23</v>
      </c>
      <c r="BC78" s="237">
        <f t="shared" si="35"/>
        <v>3.219730941704036</v>
      </c>
      <c r="BD78" s="238">
        <f t="shared" si="36"/>
        <v>3.3274336283185844</v>
      </c>
      <c r="BE78" s="238">
        <f t="shared" si="37"/>
        <v>3.293023255813954</v>
      </c>
      <c r="BF78" s="238">
        <f t="shared" si="38"/>
        <v>3.034334763948498</v>
      </c>
      <c r="BG78" s="238">
        <f t="shared" si="39"/>
        <v>2.9911504424778763</v>
      </c>
      <c r="BH78" s="238">
        <f t="shared" si="40"/>
        <v>3.342592592592592</v>
      </c>
      <c r="BI78" s="238">
        <f t="shared" si="41"/>
        <v>3.2876106194690267</v>
      </c>
      <c r="BJ78" s="238">
        <f t="shared" si="42"/>
        <v>3.3363228699551573</v>
      </c>
      <c r="BK78" s="238">
        <f t="shared" si="43"/>
        <v>3.3697916666666665</v>
      </c>
      <c r="BL78" s="238">
        <f t="shared" si="44"/>
        <v>3.390134529147982</v>
      </c>
      <c r="BM78" s="373">
        <v>22.9</v>
      </c>
      <c r="BN78" s="373">
        <v>16.24</v>
      </c>
      <c r="BO78" s="374">
        <f t="shared" si="66"/>
        <v>0.7091703056768559</v>
      </c>
      <c r="BP78" s="373">
        <v>15.06</v>
      </c>
      <c r="BQ78" s="242">
        <f t="shared" si="65"/>
        <v>0.65764192139738</v>
      </c>
      <c r="BS78" s="234"/>
    </row>
    <row r="79" spans="1:71" ht="15">
      <c r="A79" s="194">
        <v>1661</v>
      </c>
      <c r="B79" s="244" t="s">
        <v>199</v>
      </c>
      <c r="C79" s="236">
        <v>1</v>
      </c>
      <c r="D79" s="237">
        <v>9.27</v>
      </c>
      <c r="E79" s="238">
        <v>8.6</v>
      </c>
      <c r="F79" s="238">
        <v>8.69</v>
      </c>
      <c r="G79" s="238">
        <v>9.37</v>
      </c>
      <c r="H79" s="238">
        <v>9.45</v>
      </c>
      <c r="I79" s="238">
        <v>9.03</v>
      </c>
      <c r="J79" s="238">
        <v>8.95</v>
      </c>
      <c r="K79" s="238">
        <v>8.2</v>
      </c>
      <c r="L79" s="238">
        <v>8.42</v>
      </c>
      <c r="M79" s="239">
        <v>8.57</v>
      </c>
      <c r="N79" s="237">
        <v>2.55</v>
      </c>
      <c r="O79" s="238">
        <v>2.53</v>
      </c>
      <c r="P79" s="238">
        <v>2.71</v>
      </c>
      <c r="Q79" s="238">
        <v>2.52</v>
      </c>
      <c r="R79" s="238">
        <v>2.61</v>
      </c>
      <c r="S79" s="238">
        <v>2.51</v>
      </c>
      <c r="T79" s="238">
        <v>2.58</v>
      </c>
      <c r="U79" s="238">
        <v>2.54</v>
      </c>
      <c r="V79" s="238">
        <v>2.66</v>
      </c>
      <c r="W79" s="240">
        <v>2.71</v>
      </c>
      <c r="X79" s="237">
        <f t="shared" si="67"/>
        <v>3.635294117647059</v>
      </c>
      <c r="Y79" s="238">
        <f t="shared" si="68"/>
        <v>3.399209486166008</v>
      </c>
      <c r="Z79" s="238">
        <f t="shared" si="69"/>
        <v>3.206642066420664</v>
      </c>
      <c r="AA79" s="238">
        <f t="shared" si="70"/>
        <v>3.718253968253968</v>
      </c>
      <c r="AB79" s="238">
        <f t="shared" si="71"/>
        <v>3.6206896551724137</v>
      </c>
      <c r="AC79" s="238">
        <f t="shared" si="72"/>
        <v>3.597609561752988</v>
      </c>
      <c r="AD79" s="238">
        <f t="shared" si="73"/>
        <v>3.468992248062015</v>
      </c>
      <c r="AE79" s="238">
        <f t="shared" si="74"/>
        <v>3.228346456692913</v>
      </c>
      <c r="AF79" s="238">
        <f t="shared" si="75"/>
        <v>3.1654135338345863</v>
      </c>
      <c r="AG79" s="239">
        <f t="shared" si="76"/>
        <v>3.162361623616236</v>
      </c>
      <c r="AH79" s="244" t="s">
        <v>199</v>
      </c>
      <c r="AI79" s="237">
        <v>6.81</v>
      </c>
      <c r="AJ79" s="241">
        <v>5.8</v>
      </c>
      <c r="AK79" s="241">
        <v>6.85</v>
      </c>
      <c r="AL79" s="241">
        <v>6.88</v>
      </c>
      <c r="AM79" s="241">
        <v>6.71</v>
      </c>
      <c r="AN79" s="241">
        <v>6.47</v>
      </c>
      <c r="AO79" s="241">
        <v>6.47</v>
      </c>
      <c r="AP79" s="241">
        <v>6.15</v>
      </c>
      <c r="AQ79" s="238">
        <v>6.45</v>
      </c>
      <c r="AR79" s="239">
        <v>6.74</v>
      </c>
      <c r="AS79" s="237">
        <v>2.19</v>
      </c>
      <c r="AT79" s="241">
        <v>2.18</v>
      </c>
      <c r="AU79" s="241">
        <v>2.07</v>
      </c>
      <c r="AV79" s="241">
        <v>2.23</v>
      </c>
      <c r="AW79" s="241">
        <v>2.12</v>
      </c>
      <c r="AX79" s="241">
        <v>2.08</v>
      </c>
      <c r="AY79" s="241">
        <v>2.23</v>
      </c>
      <c r="AZ79" s="241">
        <v>2</v>
      </c>
      <c r="BA79" s="238">
        <v>2.24</v>
      </c>
      <c r="BB79" s="239">
        <v>2.21</v>
      </c>
      <c r="BC79" s="237">
        <f t="shared" si="35"/>
        <v>3.1095890410958904</v>
      </c>
      <c r="BD79" s="238">
        <f t="shared" si="36"/>
        <v>2.660550458715596</v>
      </c>
      <c r="BE79" s="238">
        <f t="shared" si="37"/>
        <v>3.3091787439613527</v>
      </c>
      <c r="BF79" s="238">
        <f t="shared" si="38"/>
        <v>3.085201793721973</v>
      </c>
      <c r="BG79" s="238">
        <f t="shared" si="39"/>
        <v>3.1650943396226414</v>
      </c>
      <c r="BH79" s="238">
        <f t="shared" si="40"/>
        <v>3.110576923076923</v>
      </c>
      <c r="BI79" s="238">
        <f t="shared" si="41"/>
        <v>2.9013452914798203</v>
      </c>
      <c r="BJ79" s="238">
        <f t="shared" si="42"/>
        <v>3.075</v>
      </c>
      <c r="BK79" s="238">
        <f t="shared" si="43"/>
        <v>2.8794642857142856</v>
      </c>
      <c r="BL79" s="238">
        <f t="shared" si="44"/>
        <v>3.049773755656109</v>
      </c>
      <c r="BM79" s="373">
        <v>22.3</v>
      </c>
      <c r="BN79" s="373">
        <v>15.94</v>
      </c>
      <c r="BO79" s="374">
        <f t="shared" si="66"/>
        <v>0.7147982062780268</v>
      </c>
      <c r="BP79" s="373">
        <v>11.700000000000001</v>
      </c>
      <c r="BQ79" s="242">
        <f t="shared" si="65"/>
        <v>0.5246636771300449</v>
      </c>
      <c r="BS79" s="234"/>
    </row>
    <row r="80" spans="1:74" ht="15">
      <c r="A80" s="194">
        <v>1662</v>
      </c>
      <c r="B80" s="244" t="s">
        <v>200</v>
      </c>
      <c r="C80" s="247" t="s">
        <v>254</v>
      </c>
      <c r="D80" s="237">
        <v>8.7</v>
      </c>
      <c r="E80" s="238">
        <v>8.48</v>
      </c>
      <c r="F80" s="238">
        <v>8.74</v>
      </c>
      <c r="G80" s="238">
        <v>8.39</v>
      </c>
      <c r="H80" s="238">
        <v>8.51</v>
      </c>
      <c r="I80" s="238">
        <v>8.46</v>
      </c>
      <c r="J80" s="238">
        <v>8.38</v>
      </c>
      <c r="K80" s="238">
        <v>8.12</v>
      </c>
      <c r="L80" s="238">
        <v>8.56</v>
      </c>
      <c r="M80" s="239">
        <v>8.41</v>
      </c>
      <c r="N80" s="237">
        <v>3.37</v>
      </c>
      <c r="O80" s="238">
        <v>3.34</v>
      </c>
      <c r="P80" s="238">
        <v>3.6</v>
      </c>
      <c r="Q80" s="238">
        <v>3.45</v>
      </c>
      <c r="R80" s="238">
        <v>3.3</v>
      </c>
      <c r="S80" s="238">
        <v>3.34</v>
      </c>
      <c r="T80" s="238">
        <v>3.34</v>
      </c>
      <c r="U80" s="238">
        <v>3.24</v>
      </c>
      <c r="V80" s="238">
        <v>3.59</v>
      </c>
      <c r="W80" s="240">
        <v>3.47</v>
      </c>
      <c r="X80" s="237">
        <f t="shared" si="67"/>
        <v>2.58160237388724</v>
      </c>
      <c r="Y80" s="238">
        <f t="shared" si="68"/>
        <v>2.538922155688623</v>
      </c>
      <c r="Z80" s="238">
        <f t="shared" si="69"/>
        <v>2.4277777777777776</v>
      </c>
      <c r="AA80" s="238">
        <f t="shared" si="70"/>
        <v>2.4318840579710144</v>
      </c>
      <c r="AB80" s="238">
        <f t="shared" si="71"/>
        <v>2.578787878787879</v>
      </c>
      <c r="AC80" s="238">
        <f t="shared" si="72"/>
        <v>2.5329341317365275</v>
      </c>
      <c r="AD80" s="238">
        <f t="shared" si="73"/>
        <v>2.508982035928144</v>
      </c>
      <c r="AE80" s="238">
        <f t="shared" si="74"/>
        <v>2.5061728395061724</v>
      </c>
      <c r="AF80" s="238">
        <f t="shared" si="75"/>
        <v>2.3844011142061285</v>
      </c>
      <c r="AG80" s="239">
        <f t="shared" si="76"/>
        <v>2.4236311239193085</v>
      </c>
      <c r="AH80" s="244" t="s">
        <v>200</v>
      </c>
      <c r="AI80" s="237">
        <v>6.04</v>
      </c>
      <c r="AJ80" s="241">
        <v>6.13</v>
      </c>
      <c r="AK80" s="241">
        <v>6</v>
      </c>
      <c r="AL80" s="241">
        <v>6.06</v>
      </c>
      <c r="AM80" s="241">
        <v>5.56</v>
      </c>
      <c r="AN80" s="241">
        <v>6.34</v>
      </c>
      <c r="AO80" s="241">
        <v>6.31</v>
      </c>
      <c r="AP80" s="241">
        <v>6.1</v>
      </c>
      <c r="AQ80" s="238">
        <v>5.66</v>
      </c>
      <c r="AR80" s="239">
        <v>6.19</v>
      </c>
      <c r="AS80" s="237">
        <v>2.93</v>
      </c>
      <c r="AT80" s="241">
        <v>2.98</v>
      </c>
      <c r="AU80" s="241">
        <v>2.98</v>
      </c>
      <c r="AV80" s="241">
        <v>2.89</v>
      </c>
      <c r="AW80" s="241">
        <v>2.59</v>
      </c>
      <c r="AX80" s="241">
        <v>3.03</v>
      </c>
      <c r="AY80" s="241">
        <v>3.02</v>
      </c>
      <c r="AZ80" s="241">
        <v>3.02</v>
      </c>
      <c r="BA80" s="238">
        <v>2.98</v>
      </c>
      <c r="BB80" s="239">
        <v>3</v>
      </c>
      <c r="BC80" s="237">
        <f t="shared" si="35"/>
        <v>2.061433447098976</v>
      </c>
      <c r="BD80" s="238">
        <f t="shared" si="36"/>
        <v>2.057046979865772</v>
      </c>
      <c r="BE80" s="238">
        <f t="shared" si="37"/>
        <v>2.0134228187919465</v>
      </c>
      <c r="BF80" s="238">
        <f t="shared" si="38"/>
        <v>2.0968858131487886</v>
      </c>
      <c r="BG80" s="238">
        <f t="shared" si="39"/>
        <v>2.146718146718147</v>
      </c>
      <c r="BH80" s="238">
        <f t="shared" si="40"/>
        <v>2.0924092409240926</v>
      </c>
      <c r="BI80" s="238">
        <f t="shared" si="41"/>
        <v>2.0894039735099335</v>
      </c>
      <c r="BJ80" s="238">
        <f t="shared" si="42"/>
        <v>2.019867549668874</v>
      </c>
      <c r="BK80" s="238">
        <f t="shared" si="43"/>
        <v>1.8993288590604027</v>
      </c>
      <c r="BL80" s="238">
        <f t="shared" si="44"/>
        <v>2.0633333333333335</v>
      </c>
      <c r="BM80" s="373">
        <v>30.54</v>
      </c>
      <c r="BN80" s="373">
        <v>21.47</v>
      </c>
      <c r="BO80" s="374">
        <f t="shared" si="66"/>
        <v>0.7030124426981008</v>
      </c>
      <c r="BP80" s="373">
        <v>17.37</v>
      </c>
      <c r="BQ80" s="242">
        <f t="shared" si="65"/>
        <v>0.568762278978389</v>
      </c>
      <c r="BS80" s="234"/>
      <c r="BV80" s="248"/>
    </row>
    <row r="81" spans="1:71" ht="15">
      <c r="A81" s="194">
        <v>1663</v>
      </c>
      <c r="B81" s="244" t="s">
        <v>201</v>
      </c>
      <c r="C81" s="247" t="s">
        <v>254</v>
      </c>
      <c r="D81" s="237">
        <v>8.42</v>
      </c>
      <c r="E81" s="238">
        <v>8.27</v>
      </c>
      <c r="F81" s="238">
        <v>8.76</v>
      </c>
      <c r="G81" s="238">
        <v>8.7</v>
      </c>
      <c r="H81" s="238">
        <v>8.63</v>
      </c>
      <c r="I81" s="238">
        <v>8.27</v>
      </c>
      <c r="J81" s="238">
        <v>8.56</v>
      </c>
      <c r="K81" s="238">
        <v>8.06</v>
      </c>
      <c r="L81" s="238">
        <v>8.69</v>
      </c>
      <c r="M81" s="239">
        <v>7.82</v>
      </c>
      <c r="N81" s="237">
        <v>3.48</v>
      </c>
      <c r="O81" s="238">
        <v>3.27</v>
      </c>
      <c r="P81" s="238">
        <v>3.25</v>
      </c>
      <c r="Q81" s="238">
        <v>3.31</v>
      </c>
      <c r="R81" s="238">
        <v>3.47</v>
      </c>
      <c r="S81" s="238">
        <v>3.22</v>
      </c>
      <c r="T81" s="238">
        <v>3.41</v>
      </c>
      <c r="U81" s="238">
        <v>3.32</v>
      </c>
      <c r="V81" s="238">
        <v>3.41</v>
      </c>
      <c r="W81" s="240">
        <v>3.16</v>
      </c>
      <c r="X81" s="237">
        <f t="shared" si="67"/>
        <v>2.4195402298850577</v>
      </c>
      <c r="Y81" s="238">
        <f t="shared" si="68"/>
        <v>2.529051987767584</v>
      </c>
      <c r="Z81" s="238">
        <f t="shared" si="69"/>
        <v>2.6953846153846155</v>
      </c>
      <c r="AA81" s="238">
        <f t="shared" si="70"/>
        <v>2.628398791540785</v>
      </c>
      <c r="AB81" s="238">
        <f t="shared" si="71"/>
        <v>2.4870317002881843</v>
      </c>
      <c r="AC81" s="238">
        <f t="shared" si="72"/>
        <v>2.5683229813664594</v>
      </c>
      <c r="AD81" s="238">
        <f t="shared" si="73"/>
        <v>2.5102639296187683</v>
      </c>
      <c r="AE81" s="238">
        <f t="shared" si="74"/>
        <v>2.4277108433734944</v>
      </c>
      <c r="AF81" s="238">
        <f t="shared" si="75"/>
        <v>2.5483870967741935</v>
      </c>
      <c r="AG81" s="239">
        <f t="shared" si="76"/>
        <v>2.4746835443037973</v>
      </c>
      <c r="AH81" s="244" t="s">
        <v>201</v>
      </c>
      <c r="AI81" s="237">
        <v>6.06</v>
      </c>
      <c r="AJ81" s="241">
        <v>5.9</v>
      </c>
      <c r="AK81" s="241">
        <v>6.09</v>
      </c>
      <c r="AL81" s="241">
        <v>6.11</v>
      </c>
      <c r="AM81" s="241">
        <v>6.11</v>
      </c>
      <c r="AN81" s="241">
        <v>6.11</v>
      </c>
      <c r="AO81" s="241">
        <v>5.53</v>
      </c>
      <c r="AP81" s="241">
        <v>5.98</v>
      </c>
      <c r="AQ81" s="238">
        <v>6.12</v>
      </c>
      <c r="AR81" s="239">
        <v>6.68</v>
      </c>
      <c r="AS81" s="237">
        <v>2.78</v>
      </c>
      <c r="AT81" s="241">
        <v>2.78</v>
      </c>
      <c r="AU81" s="241">
        <v>2.89</v>
      </c>
      <c r="AV81" s="241">
        <v>2.89</v>
      </c>
      <c r="AW81" s="241">
        <v>2.78</v>
      </c>
      <c r="AX81" s="241">
        <v>2.77</v>
      </c>
      <c r="AY81" s="241">
        <v>2.63</v>
      </c>
      <c r="AZ81" s="241">
        <v>2.78</v>
      </c>
      <c r="BA81" s="238">
        <v>2.78</v>
      </c>
      <c r="BB81" s="239">
        <v>2.91</v>
      </c>
      <c r="BC81" s="237">
        <f t="shared" si="35"/>
        <v>2.179856115107914</v>
      </c>
      <c r="BD81" s="238">
        <f t="shared" si="36"/>
        <v>2.1223021582733814</v>
      </c>
      <c r="BE81" s="238">
        <f t="shared" si="37"/>
        <v>2.107266435986159</v>
      </c>
      <c r="BF81" s="238">
        <f t="shared" si="38"/>
        <v>2.114186851211073</v>
      </c>
      <c r="BG81" s="238">
        <f t="shared" si="39"/>
        <v>2.197841726618705</v>
      </c>
      <c r="BH81" s="238">
        <f t="shared" si="40"/>
        <v>2.205776173285199</v>
      </c>
      <c r="BI81" s="238">
        <f t="shared" si="41"/>
        <v>2.1026615969581752</v>
      </c>
      <c r="BJ81" s="238">
        <f t="shared" si="42"/>
        <v>2.151079136690648</v>
      </c>
      <c r="BK81" s="238">
        <f t="shared" si="43"/>
        <v>2.2014388489208634</v>
      </c>
      <c r="BL81" s="238">
        <f t="shared" si="44"/>
        <v>2.29553264604811</v>
      </c>
      <c r="BM81" s="373">
        <v>26.95</v>
      </c>
      <c r="BN81" s="373">
        <v>19.05</v>
      </c>
      <c r="BO81" s="374">
        <f t="shared" si="66"/>
        <v>0.7068645640074211</v>
      </c>
      <c r="BP81" s="373">
        <v>18.78</v>
      </c>
      <c r="BQ81" s="242">
        <f t="shared" si="65"/>
        <v>0.6968460111317255</v>
      </c>
      <c r="BS81" s="234"/>
    </row>
    <row r="82" spans="1:71" ht="15">
      <c r="A82" s="194">
        <v>1665</v>
      </c>
      <c r="B82" s="244" t="s">
        <v>202</v>
      </c>
      <c r="C82" s="236">
        <v>1</v>
      </c>
      <c r="D82" s="237">
        <v>8.5</v>
      </c>
      <c r="E82" s="238">
        <v>8.47</v>
      </c>
      <c r="F82" s="238">
        <v>8.26</v>
      </c>
      <c r="G82" s="238">
        <v>7.55</v>
      </c>
      <c r="H82" s="238">
        <v>8.48</v>
      </c>
      <c r="I82" s="238">
        <v>8.82</v>
      </c>
      <c r="J82" s="238">
        <v>7.74</v>
      </c>
      <c r="K82" s="238">
        <v>7.33</v>
      </c>
      <c r="L82" s="238">
        <v>8.3</v>
      </c>
      <c r="M82" s="239">
        <v>8.75</v>
      </c>
      <c r="N82" s="237">
        <v>3.59</v>
      </c>
      <c r="O82" s="238">
        <v>3.47</v>
      </c>
      <c r="P82" s="238">
        <v>3.24</v>
      </c>
      <c r="Q82" s="238">
        <v>3.11</v>
      </c>
      <c r="R82" s="238">
        <v>3.61</v>
      </c>
      <c r="S82" s="238">
        <v>3.6</v>
      </c>
      <c r="T82" s="238">
        <v>3.32</v>
      </c>
      <c r="U82" s="249">
        <v>3.72</v>
      </c>
      <c r="V82" s="238">
        <v>3.46</v>
      </c>
      <c r="W82" s="240">
        <v>3.39</v>
      </c>
      <c r="X82" s="237">
        <f t="shared" si="67"/>
        <v>2.367688022284123</v>
      </c>
      <c r="Y82" s="238">
        <f t="shared" si="68"/>
        <v>2.440922190201729</v>
      </c>
      <c r="Z82" s="238">
        <f t="shared" si="69"/>
        <v>2.5493827160493825</v>
      </c>
      <c r="AA82" s="238">
        <f t="shared" si="70"/>
        <v>2.427652733118971</v>
      </c>
      <c r="AB82" s="238">
        <f t="shared" si="71"/>
        <v>2.3490304709141276</v>
      </c>
      <c r="AC82" s="238">
        <f t="shared" si="72"/>
        <v>2.45</v>
      </c>
      <c r="AD82" s="238">
        <f t="shared" si="73"/>
        <v>2.3313253012048194</v>
      </c>
      <c r="AE82" s="238">
        <f t="shared" si="74"/>
        <v>1.9704301075268817</v>
      </c>
      <c r="AF82" s="238">
        <f t="shared" si="75"/>
        <v>2.3988439306358385</v>
      </c>
      <c r="AG82" s="239">
        <f t="shared" si="76"/>
        <v>2.5811209439528024</v>
      </c>
      <c r="AH82" s="244" t="s">
        <v>202</v>
      </c>
      <c r="AI82" s="237">
        <v>5.82</v>
      </c>
      <c r="AJ82" s="241">
        <v>6.24</v>
      </c>
      <c r="AK82" s="241">
        <v>6.36</v>
      </c>
      <c r="AL82" s="241">
        <v>5.69</v>
      </c>
      <c r="AM82" s="241">
        <v>6.11</v>
      </c>
      <c r="AN82" s="241">
        <v>6.16</v>
      </c>
      <c r="AO82" s="241">
        <v>5.39</v>
      </c>
      <c r="AP82" s="241">
        <v>5.98</v>
      </c>
      <c r="AQ82" s="238">
        <v>6.32</v>
      </c>
      <c r="AR82" s="239">
        <v>6</v>
      </c>
      <c r="AS82" s="237">
        <v>2.77</v>
      </c>
      <c r="AT82" s="241">
        <v>2.72</v>
      </c>
      <c r="AU82" s="241">
        <v>2.94</v>
      </c>
      <c r="AV82" s="241">
        <v>2.87</v>
      </c>
      <c r="AW82" s="241">
        <v>2.78</v>
      </c>
      <c r="AX82" s="241">
        <v>2.86</v>
      </c>
      <c r="AY82" s="241">
        <v>3.3</v>
      </c>
      <c r="AZ82" s="241">
        <v>2.84</v>
      </c>
      <c r="BA82" s="238">
        <v>2.97</v>
      </c>
      <c r="BB82" s="239">
        <v>2.88</v>
      </c>
      <c r="BC82" s="237">
        <f t="shared" si="35"/>
        <v>2.101083032490975</v>
      </c>
      <c r="BD82" s="238">
        <f t="shared" si="36"/>
        <v>2.2941176470588234</v>
      </c>
      <c r="BE82" s="238">
        <f t="shared" si="37"/>
        <v>2.163265306122449</v>
      </c>
      <c r="BF82" s="238">
        <f t="shared" si="38"/>
        <v>1.9825783972125437</v>
      </c>
      <c r="BG82" s="238">
        <f t="shared" si="39"/>
        <v>2.197841726618705</v>
      </c>
      <c r="BH82" s="238">
        <f t="shared" si="40"/>
        <v>2.153846153846154</v>
      </c>
      <c r="BI82" s="238">
        <f t="shared" si="41"/>
        <v>1.6333333333333333</v>
      </c>
      <c r="BJ82" s="238">
        <f t="shared" si="42"/>
        <v>2.1056338028169015</v>
      </c>
      <c r="BK82" s="238">
        <f t="shared" si="43"/>
        <v>2.127946127946128</v>
      </c>
      <c r="BL82" s="238">
        <f t="shared" si="44"/>
        <v>2.0833333333333335</v>
      </c>
      <c r="BM82" s="373">
        <v>30.4</v>
      </c>
      <c r="BN82" s="373">
        <v>21.37</v>
      </c>
      <c r="BO82" s="374">
        <f t="shared" si="66"/>
        <v>0.7029605263157895</v>
      </c>
      <c r="BP82" s="373">
        <v>20.41</v>
      </c>
      <c r="BQ82" s="242">
        <f t="shared" si="65"/>
        <v>0.6713815789473685</v>
      </c>
      <c r="BS82" s="234"/>
    </row>
    <row r="83" spans="1:71" ht="15">
      <c r="A83" s="194">
        <v>1666</v>
      </c>
      <c r="B83" s="244" t="s">
        <v>203</v>
      </c>
      <c r="C83" s="236">
        <v>1</v>
      </c>
      <c r="D83" s="237">
        <v>9.24</v>
      </c>
      <c r="E83" s="238">
        <v>8.56</v>
      </c>
      <c r="F83" s="238">
        <v>9.32</v>
      </c>
      <c r="G83" s="238">
        <v>8.54</v>
      </c>
      <c r="H83" s="238">
        <v>8.56</v>
      </c>
      <c r="I83" s="238">
        <v>9.3</v>
      </c>
      <c r="J83" s="238">
        <v>9.59</v>
      </c>
      <c r="K83" s="238">
        <v>9.04</v>
      </c>
      <c r="L83" s="238">
        <v>9.72</v>
      </c>
      <c r="M83" s="239">
        <v>9.42</v>
      </c>
      <c r="N83" s="237">
        <v>2.59</v>
      </c>
      <c r="O83" s="238">
        <v>2.5</v>
      </c>
      <c r="P83" s="238">
        <v>2.57</v>
      </c>
      <c r="Q83" s="238">
        <v>2.62</v>
      </c>
      <c r="R83" s="238">
        <v>2.65</v>
      </c>
      <c r="S83" s="238">
        <v>2.46</v>
      </c>
      <c r="T83" s="238">
        <v>2.56</v>
      </c>
      <c r="U83" s="238">
        <v>2.45</v>
      </c>
      <c r="V83" s="238">
        <v>2.55</v>
      </c>
      <c r="W83" s="240">
        <v>2.42</v>
      </c>
      <c r="X83" s="237">
        <f t="shared" si="67"/>
        <v>3.567567567567568</v>
      </c>
      <c r="Y83" s="238">
        <f t="shared" si="68"/>
        <v>3.4240000000000004</v>
      </c>
      <c r="Z83" s="238">
        <f t="shared" si="69"/>
        <v>3.626459143968872</v>
      </c>
      <c r="AA83" s="238">
        <f t="shared" si="70"/>
        <v>3.2595419847328237</v>
      </c>
      <c r="AB83" s="238">
        <f t="shared" si="71"/>
        <v>3.230188679245283</v>
      </c>
      <c r="AC83" s="238">
        <f t="shared" si="72"/>
        <v>3.780487804878049</v>
      </c>
      <c r="AD83" s="238">
        <f t="shared" si="73"/>
        <v>3.74609375</v>
      </c>
      <c r="AE83" s="238">
        <f t="shared" si="74"/>
        <v>3.6897959183673463</v>
      </c>
      <c r="AF83" s="238">
        <f t="shared" si="75"/>
        <v>3.8117647058823536</v>
      </c>
      <c r="AG83" s="239">
        <f t="shared" si="76"/>
        <v>3.8925619834710745</v>
      </c>
      <c r="AH83" s="244" t="s">
        <v>203</v>
      </c>
      <c r="AI83" s="237">
        <v>6.53</v>
      </c>
      <c r="AJ83" s="241">
        <v>6.4</v>
      </c>
      <c r="AK83" s="241">
        <v>6.77</v>
      </c>
      <c r="AL83" s="241">
        <v>6.62</v>
      </c>
      <c r="AM83" s="241">
        <v>7.17</v>
      </c>
      <c r="AN83" s="241">
        <v>6</v>
      </c>
      <c r="AO83" s="241">
        <v>6.39</v>
      </c>
      <c r="AP83" s="241">
        <v>6.9</v>
      </c>
      <c r="AQ83" s="238">
        <v>6.88</v>
      </c>
      <c r="AR83" s="239">
        <v>6.98</v>
      </c>
      <c r="AS83" s="237">
        <v>2.24</v>
      </c>
      <c r="AT83" s="241">
        <v>2.15</v>
      </c>
      <c r="AU83" s="241">
        <v>2.17</v>
      </c>
      <c r="AV83" s="241">
        <v>2.13</v>
      </c>
      <c r="AW83" s="241">
        <v>2.22</v>
      </c>
      <c r="AX83" s="241">
        <v>2.27</v>
      </c>
      <c r="AY83" s="241">
        <v>2.13</v>
      </c>
      <c r="AZ83" s="241">
        <v>2.2</v>
      </c>
      <c r="BA83" s="238">
        <v>2.01</v>
      </c>
      <c r="BB83" s="239">
        <v>2.29</v>
      </c>
      <c r="BC83" s="237">
        <f t="shared" si="35"/>
        <v>2.915178571428571</v>
      </c>
      <c r="BD83" s="238">
        <f t="shared" si="36"/>
        <v>2.976744186046512</v>
      </c>
      <c r="BE83" s="238">
        <f t="shared" si="37"/>
        <v>3.1198156682027647</v>
      </c>
      <c r="BF83" s="238">
        <f t="shared" si="38"/>
        <v>3.107981220657277</v>
      </c>
      <c r="BG83" s="238">
        <f t="shared" si="39"/>
        <v>3.2297297297297294</v>
      </c>
      <c r="BH83" s="238">
        <f t="shared" si="40"/>
        <v>2.643171806167401</v>
      </c>
      <c r="BI83" s="238">
        <f t="shared" si="41"/>
        <v>3</v>
      </c>
      <c r="BJ83" s="238">
        <f t="shared" si="42"/>
        <v>3.1363636363636362</v>
      </c>
      <c r="BK83" s="238">
        <f t="shared" si="43"/>
        <v>3.422885572139304</v>
      </c>
      <c r="BL83" s="238">
        <f t="shared" si="44"/>
        <v>3.048034934497817</v>
      </c>
      <c r="BM83" s="373">
        <v>22.84</v>
      </c>
      <c r="BN83" s="373">
        <v>16.23</v>
      </c>
      <c r="BO83" s="374">
        <f t="shared" si="66"/>
        <v>0.7105954465849387</v>
      </c>
      <c r="BP83" s="373">
        <v>10.530000000000001</v>
      </c>
      <c r="BQ83" s="242">
        <f t="shared" si="65"/>
        <v>0.4610332749562172</v>
      </c>
      <c r="BS83" s="234"/>
    </row>
    <row r="84" spans="1:71" ht="15">
      <c r="A84" s="194">
        <v>1667</v>
      </c>
      <c r="B84" s="244" t="s">
        <v>204</v>
      </c>
      <c r="C84" s="247" t="s">
        <v>254</v>
      </c>
      <c r="D84" s="237">
        <v>8.9</v>
      </c>
      <c r="E84" s="238">
        <v>9.15</v>
      </c>
      <c r="F84" s="238">
        <v>8.93</v>
      </c>
      <c r="G84" s="238">
        <v>8.94</v>
      </c>
      <c r="H84" s="238">
        <v>8.54</v>
      </c>
      <c r="I84" s="238">
        <v>9.1</v>
      </c>
      <c r="J84" s="238">
        <v>9.45</v>
      </c>
      <c r="K84" s="238">
        <v>8.58</v>
      </c>
      <c r="L84" s="238">
        <v>8.26</v>
      </c>
      <c r="M84" s="239">
        <v>9.25</v>
      </c>
      <c r="N84" s="237">
        <v>3.43</v>
      </c>
      <c r="O84" s="238">
        <v>3.28</v>
      </c>
      <c r="P84" s="238">
        <v>3.38</v>
      </c>
      <c r="Q84" s="238">
        <v>3.29</v>
      </c>
      <c r="R84" s="238">
        <v>3.43</v>
      </c>
      <c r="S84" s="238">
        <v>3.48</v>
      </c>
      <c r="T84" s="238">
        <v>3.43</v>
      </c>
      <c r="U84" s="238">
        <v>3.05</v>
      </c>
      <c r="V84" s="238">
        <v>3.28</v>
      </c>
      <c r="W84" s="240">
        <v>3.28</v>
      </c>
      <c r="X84" s="237">
        <f t="shared" si="67"/>
        <v>2.5947521865889214</v>
      </c>
      <c r="Y84" s="238">
        <f t="shared" si="68"/>
        <v>2.789634146341464</v>
      </c>
      <c r="Z84" s="238">
        <f t="shared" si="69"/>
        <v>2.6420118343195265</v>
      </c>
      <c r="AA84" s="238">
        <f t="shared" si="70"/>
        <v>2.7173252279635256</v>
      </c>
      <c r="AB84" s="238">
        <f t="shared" si="71"/>
        <v>2.4897959183673466</v>
      </c>
      <c r="AC84" s="238">
        <f t="shared" si="72"/>
        <v>2.6149425287356323</v>
      </c>
      <c r="AD84" s="238">
        <f t="shared" si="73"/>
        <v>2.7551020408163263</v>
      </c>
      <c r="AE84" s="238">
        <f t="shared" si="74"/>
        <v>2.8131147540983608</v>
      </c>
      <c r="AF84" s="238">
        <f t="shared" si="75"/>
        <v>2.5182926829268295</v>
      </c>
      <c r="AG84" s="239">
        <f t="shared" si="76"/>
        <v>2.8201219512195124</v>
      </c>
      <c r="AH84" s="244" t="s">
        <v>204</v>
      </c>
      <c r="AI84" s="237">
        <v>6.58</v>
      </c>
      <c r="AJ84" s="241">
        <v>6.3</v>
      </c>
      <c r="AK84" s="241">
        <v>6.77</v>
      </c>
      <c r="AL84" s="241">
        <v>6.75</v>
      </c>
      <c r="AM84" s="241">
        <v>6.39</v>
      </c>
      <c r="AN84" s="241">
        <v>6.52</v>
      </c>
      <c r="AO84" s="241">
        <v>6.73</v>
      </c>
      <c r="AP84" s="241">
        <v>6.68</v>
      </c>
      <c r="AQ84" s="238">
        <v>6.56</v>
      </c>
      <c r="AR84" s="239">
        <v>6.42</v>
      </c>
      <c r="AS84" s="237">
        <v>2.99</v>
      </c>
      <c r="AT84" s="241">
        <v>2.93</v>
      </c>
      <c r="AU84" s="241">
        <v>2.85</v>
      </c>
      <c r="AV84" s="241">
        <v>2.79</v>
      </c>
      <c r="AW84" s="241">
        <v>2.77</v>
      </c>
      <c r="AX84" s="241">
        <v>2.75</v>
      </c>
      <c r="AY84" s="241">
        <v>2.96</v>
      </c>
      <c r="AZ84" s="241">
        <v>2.9</v>
      </c>
      <c r="BA84" s="238">
        <v>2.89</v>
      </c>
      <c r="BB84" s="239">
        <v>2.78</v>
      </c>
      <c r="BC84" s="237">
        <f t="shared" si="35"/>
        <v>2.20066889632107</v>
      </c>
      <c r="BD84" s="238">
        <f t="shared" si="36"/>
        <v>2.150170648464164</v>
      </c>
      <c r="BE84" s="238">
        <f t="shared" si="37"/>
        <v>2.375438596491228</v>
      </c>
      <c r="BF84" s="238">
        <f t="shared" si="38"/>
        <v>2.4193548387096775</v>
      </c>
      <c r="BG84" s="238">
        <f t="shared" si="39"/>
        <v>2.306859205776173</v>
      </c>
      <c r="BH84" s="238">
        <f t="shared" si="40"/>
        <v>2.3709090909090906</v>
      </c>
      <c r="BI84" s="238">
        <f t="shared" si="41"/>
        <v>2.2736486486486487</v>
      </c>
      <c r="BJ84" s="238">
        <f t="shared" si="42"/>
        <v>2.303448275862069</v>
      </c>
      <c r="BK84" s="238">
        <f t="shared" si="43"/>
        <v>2.269896193771626</v>
      </c>
      <c r="BL84" s="238">
        <f t="shared" si="44"/>
        <v>2.309352517985612</v>
      </c>
      <c r="BM84" s="373">
        <v>30.38</v>
      </c>
      <c r="BN84" s="373">
        <v>21.29</v>
      </c>
      <c r="BO84" s="374">
        <f t="shared" si="66"/>
        <v>0.7007899934167215</v>
      </c>
      <c r="BP84" s="373">
        <v>15.18</v>
      </c>
      <c r="BQ84" s="242">
        <f t="shared" si="65"/>
        <v>0.49967083607636603</v>
      </c>
      <c r="BS84" s="234"/>
    </row>
    <row r="85" spans="1:71" ht="15">
      <c r="A85" s="194">
        <v>1668</v>
      </c>
      <c r="B85" s="244" t="s">
        <v>205</v>
      </c>
      <c r="C85" s="247" t="s">
        <v>255</v>
      </c>
      <c r="D85" s="237">
        <v>8.03</v>
      </c>
      <c r="E85" s="238">
        <v>7.73</v>
      </c>
      <c r="F85" s="238">
        <v>8.02</v>
      </c>
      <c r="G85" s="238">
        <v>7.78</v>
      </c>
      <c r="H85" s="238">
        <v>7.88</v>
      </c>
      <c r="I85" s="238">
        <v>7.35</v>
      </c>
      <c r="J85" s="238">
        <v>8.12</v>
      </c>
      <c r="K85" s="238">
        <v>7.82</v>
      </c>
      <c r="L85" s="238">
        <v>7.19</v>
      </c>
      <c r="M85" s="239">
        <v>8.45</v>
      </c>
      <c r="N85" s="237">
        <v>3.26</v>
      </c>
      <c r="O85" s="238">
        <v>3.46</v>
      </c>
      <c r="P85" s="238">
        <v>3.28</v>
      </c>
      <c r="Q85" s="238">
        <v>3.27</v>
      </c>
      <c r="R85" s="238">
        <v>3.31</v>
      </c>
      <c r="S85" s="238">
        <v>3.21</v>
      </c>
      <c r="T85" s="238">
        <v>3.25</v>
      </c>
      <c r="U85" s="238">
        <v>3.17</v>
      </c>
      <c r="V85" s="238">
        <v>3.12</v>
      </c>
      <c r="W85" s="240">
        <v>3.35</v>
      </c>
      <c r="X85" s="237">
        <f t="shared" si="67"/>
        <v>2.4631901840490795</v>
      </c>
      <c r="Y85" s="238">
        <f t="shared" si="68"/>
        <v>2.234104046242775</v>
      </c>
      <c r="Z85" s="238">
        <f t="shared" si="69"/>
        <v>2.4451219512195124</v>
      </c>
      <c r="AA85" s="238">
        <f t="shared" si="70"/>
        <v>2.379204892966361</v>
      </c>
      <c r="AB85" s="238">
        <f t="shared" si="71"/>
        <v>2.3806646525679755</v>
      </c>
      <c r="AC85" s="238">
        <f t="shared" si="72"/>
        <v>2.289719626168224</v>
      </c>
      <c r="AD85" s="238">
        <f t="shared" si="73"/>
        <v>2.4984615384615383</v>
      </c>
      <c r="AE85" s="238">
        <f t="shared" si="74"/>
        <v>2.466876971608833</v>
      </c>
      <c r="AF85" s="238">
        <f t="shared" si="75"/>
        <v>2.3044871794871797</v>
      </c>
      <c r="AG85" s="239">
        <f t="shared" si="76"/>
        <v>2.522388059701492</v>
      </c>
      <c r="AH85" s="244" t="s">
        <v>205</v>
      </c>
      <c r="AI85" s="237">
        <v>5.62</v>
      </c>
      <c r="AJ85" s="241">
        <v>5.36</v>
      </c>
      <c r="AK85" s="241">
        <v>6.06</v>
      </c>
      <c r="AL85" s="241">
        <v>5.69</v>
      </c>
      <c r="AM85" s="241">
        <v>5.68</v>
      </c>
      <c r="AN85" s="241">
        <v>5.74</v>
      </c>
      <c r="AO85" s="241">
        <v>5.19</v>
      </c>
      <c r="AP85" s="241">
        <v>5.35</v>
      </c>
      <c r="AQ85" s="238">
        <v>5.45</v>
      </c>
      <c r="AR85" s="239">
        <v>5.14</v>
      </c>
      <c r="AS85" s="237">
        <v>2.68</v>
      </c>
      <c r="AT85" s="241">
        <v>2.81</v>
      </c>
      <c r="AU85" s="241">
        <v>2.82</v>
      </c>
      <c r="AV85" s="241">
        <v>2.78</v>
      </c>
      <c r="AW85" s="241">
        <v>2.84</v>
      </c>
      <c r="AX85" s="241">
        <v>2.79</v>
      </c>
      <c r="AY85" s="241">
        <v>2.82</v>
      </c>
      <c r="AZ85" s="241">
        <v>2.76</v>
      </c>
      <c r="BA85" s="238">
        <v>2.89</v>
      </c>
      <c r="BB85" s="239">
        <v>2.81</v>
      </c>
      <c r="BC85" s="237">
        <f t="shared" si="35"/>
        <v>2.0970149253731343</v>
      </c>
      <c r="BD85" s="238">
        <f t="shared" si="36"/>
        <v>1.907473309608541</v>
      </c>
      <c r="BE85" s="238">
        <f t="shared" si="37"/>
        <v>2.148936170212766</v>
      </c>
      <c r="BF85" s="238">
        <f t="shared" si="38"/>
        <v>2.0467625899280577</v>
      </c>
      <c r="BG85" s="238">
        <f t="shared" si="39"/>
        <v>2</v>
      </c>
      <c r="BH85" s="238">
        <f t="shared" si="40"/>
        <v>2.057347670250896</v>
      </c>
      <c r="BI85" s="238">
        <f t="shared" si="41"/>
        <v>1.8404255319148939</v>
      </c>
      <c r="BJ85" s="238">
        <f t="shared" si="42"/>
        <v>1.9384057971014492</v>
      </c>
      <c r="BK85" s="238">
        <f t="shared" si="43"/>
        <v>1.8858131487889274</v>
      </c>
      <c r="BL85" s="238">
        <f t="shared" si="44"/>
        <v>1.8291814946619216</v>
      </c>
      <c r="BM85" s="373">
        <f>4*6.49</f>
        <v>25.96</v>
      </c>
      <c r="BN85" s="373">
        <f>4*4.17</f>
        <v>16.68</v>
      </c>
      <c r="BO85" s="374">
        <f t="shared" si="66"/>
        <v>0.6425269645608628</v>
      </c>
      <c r="BP85" s="373">
        <f>4*3.94</f>
        <v>15.76</v>
      </c>
      <c r="BQ85" s="242">
        <f t="shared" si="65"/>
        <v>0.6070878274268104</v>
      </c>
      <c r="BS85" s="234"/>
    </row>
    <row r="86" spans="1:71" ht="15">
      <c r="A86" s="194">
        <v>1669</v>
      </c>
      <c r="B86" s="244" t="s">
        <v>206</v>
      </c>
      <c r="C86" s="236">
        <v>1</v>
      </c>
      <c r="D86" s="237">
        <v>11.02</v>
      </c>
      <c r="E86" s="238">
        <v>9.09</v>
      </c>
      <c r="F86" s="238">
        <v>11.53</v>
      </c>
      <c r="G86" s="238">
        <v>10.82</v>
      </c>
      <c r="H86" s="238">
        <v>10.96</v>
      </c>
      <c r="I86" s="238">
        <v>8.29</v>
      </c>
      <c r="J86" s="238">
        <v>8.03</v>
      </c>
      <c r="K86" s="238">
        <v>10.2</v>
      </c>
      <c r="L86" s="238">
        <v>10.17</v>
      </c>
      <c r="M86" s="239">
        <v>9.22</v>
      </c>
      <c r="N86" s="237">
        <v>2.74</v>
      </c>
      <c r="O86" s="238">
        <v>2.78</v>
      </c>
      <c r="P86" s="238">
        <v>2.72</v>
      </c>
      <c r="Q86" s="238">
        <v>2.58</v>
      </c>
      <c r="R86" s="238">
        <v>2.65</v>
      </c>
      <c r="S86" s="238">
        <v>2.52</v>
      </c>
      <c r="T86" s="238">
        <v>2.63</v>
      </c>
      <c r="U86" s="238">
        <v>2.71</v>
      </c>
      <c r="V86" s="238">
        <v>2.45</v>
      </c>
      <c r="W86" s="240">
        <v>2.51</v>
      </c>
      <c r="X86" s="237">
        <f t="shared" si="67"/>
        <v>4.021897810218977</v>
      </c>
      <c r="Y86" s="238">
        <f t="shared" si="68"/>
        <v>3.2697841726618706</v>
      </c>
      <c r="Z86" s="238">
        <f t="shared" si="69"/>
        <v>4.2389705882352935</v>
      </c>
      <c r="AA86" s="238">
        <f t="shared" si="70"/>
        <v>4.1937984496124034</v>
      </c>
      <c r="AB86" s="238">
        <f t="shared" si="71"/>
        <v>4.135849056603774</v>
      </c>
      <c r="AC86" s="238">
        <f t="shared" si="72"/>
        <v>3.2896825396825395</v>
      </c>
      <c r="AD86" s="238">
        <f t="shared" si="73"/>
        <v>3.053231939163498</v>
      </c>
      <c r="AE86" s="238">
        <f t="shared" si="74"/>
        <v>3.7638376383763834</v>
      </c>
      <c r="AF86" s="238">
        <f t="shared" si="75"/>
        <v>4.151020408163265</v>
      </c>
      <c r="AG86" s="239">
        <f t="shared" si="76"/>
        <v>3.6733067729083673</v>
      </c>
      <c r="AH86" s="244" t="s">
        <v>206</v>
      </c>
      <c r="AI86" s="237">
        <v>6.24</v>
      </c>
      <c r="AJ86" s="241">
        <v>8.07</v>
      </c>
      <c r="AK86" s="241">
        <v>7.11</v>
      </c>
      <c r="AL86" s="241">
        <v>6.75</v>
      </c>
      <c r="AM86" s="241">
        <v>7</v>
      </c>
      <c r="AN86" s="241">
        <v>7.78</v>
      </c>
      <c r="AO86" s="241">
        <v>6.48</v>
      </c>
      <c r="AP86" s="241">
        <v>7.38</v>
      </c>
      <c r="AQ86" s="238">
        <v>7.98</v>
      </c>
      <c r="AR86" s="239">
        <v>7.22</v>
      </c>
      <c r="AS86" s="237">
        <v>2.01</v>
      </c>
      <c r="AT86" s="241">
        <v>2.22</v>
      </c>
      <c r="AU86" s="241">
        <v>2.26</v>
      </c>
      <c r="AV86" s="241">
        <v>2.14</v>
      </c>
      <c r="AW86" s="241">
        <v>2.19</v>
      </c>
      <c r="AX86" s="241">
        <v>2.18</v>
      </c>
      <c r="AY86" s="241">
        <v>2.12</v>
      </c>
      <c r="AZ86" s="241">
        <v>2.25</v>
      </c>
      <c r="BA86" s="238">
        <v>2.22</v>
      </c>
      <c r="BB86" s="239">
        <v>2.15</v>
      </c>
      <c r="BC86" s="237">
        <f t="shared" si="35"/>
        <v>3.104477611940299</v>
      </c>
      <c r="BD86" s="238">
        <f t="shared" si="36"/>
        <v>3.635135135135135</v>
      </c>
      <c r="BE86" s="238">
        <f t="shared" si="37"/>
        <v>3.1460176991150446</v>
      </c>
      <c r="BF86" s="238">
        <f t="shared" si="38"/>
        <v>3.1542056074766354</v>
      </c>
      <c r="BG86" s="238">
        <f t="shared" si="39"/>
        <v>3.1963470319634704</v>
      </c>
      <c r="BH86" s="238">
        <f t="shared" si="40"/>
        <v>3.568807339449541</v>
      </c>
      <c r="BI86" s="238">
        <f t="shared" si="41"/>
        <v>3.056603773584906</v>
      </c>
      <c r="BJ86" s="238">
        <f t="shared" si="42"/>
        <v>3.28</v>
      </c>
      <c r="BK86" s="238">
        <f t="shared" si="43"/>
        <v>3.5945945945945943</v>
      </c>
      <c r="BL86" s="238">
        <f t="shared" si="44"/>
        <v>3.358139534883721</v>
      </c>
      <c r="BM86" s="373">
        <v>21.82</v>
      </c>
      <c r="BN86" s="373">
        <v>15.2</v>
      </c>
      <c r="BO86" s="374">
        <f t="shared" si="66"/>
        <v>0.6966086159486709</v>
      </c>
      <c r="BP86" s="373">
        <v>12.75</v>
      </c>
      <c r="BQ86" s="242">
        <f t="shared" si="65"/>
        <v>0.5843263061411549</v>
      </c>
      <c r="BS86" s="234"/>
    </row>
    <row r="87" spans="1:71" ht="15">
      <c r="A87" s="194">
        <v>1670</v>
      </c>
      <c r="B87" s="244" t="s">
        <v>207</v>
      </c>
      <c r="C87" s="236">
        <v>3</v>
      </c>
      <c r="D87" s="237">
        <v>6.89</v>
      </c>
      <c r="E87" s="238">
        <v>7.02</v>
      </c>
      <c r="F87" s="238">
        <v>6.7</v>
      </c>
      <c r="G87" s="238">
        <v>6.78</v>
      </c>
      <c r="H87" s="238">
        <v>7.11</v>
      </c>
      <c r="I87" s="238">
        <v>7.08</v>
      </c>
      <c r="J87" s="238">
        <v>8.6</v>
      </c>
      <c r="K87" s="238">
        <v>6.8</v>
      </c>
      <c r="L87" s="238">
        <v>7.57</v>
      </c>
      <c r="M87" s="239">
        <v>7.37</v>
      </c>
      <c r="N87" s="237">
        <v>3.49</v>
      </c>
      <c r="O87" s="238">
        <v>3.28</v>
      </c>
      <c r="P87" s="238">
        <v>3.34</v>
      </c>
      <c r="Q87" s="238">
        <v>3.28</v>
      </c>
      <c r="R87" s="238">
        <v>3.48</v>
      </c>
      <c r="S87" s="238">
        <v>3.39</v>
      </c>
      <c r="T87" s="238">
        <v>3.42</v>
      </c>
      <c r="U87" s="238">
        <v>3.28</v>
      </c>
      <c r="V87" s="238">
        <v>3.35</v>
      </c>
      <c r="W87" s="240">
        <v>3.39</v>
      </c>
      <c r="X87" s="237">
        <f t="shared" si="67"/>
        <v>1.974212034383954</v>
      </c>
      <c r="Y87" s="238">
        <f t="shared" si="68"/>
        <v>2.1402439024390243</v>
      </c>
      <c r="Z87" s="238">
        <f t="shared" si="69"/>
        <v>2.0059880239520957</v>
      </c>
      <c r="AA87" s="238">
        <f t="shared" si="70"/>
        <v>2.0670731707317076</v>
      </c>
      <c r="AB87" s="238">
        <f t="shared" si="71"/>
        <v>2.043103448275862</v>
      </c>
      <c r="AC87" s="238">
        <f t="shared" si="72"/>
        <v>2.088495575221239</v>
      </c>
      <c r="AD87" s="238">
        <f t="shared" si="73"/>
        <v>2.5146198830409356</v>
      </c>
      <c r="AE87" s="238">
        <f t="shared" si="74"/>
        <v>2.073170731707317</v>
      </c>
      <c r="AF87" s="238">
        <f t="shared" si="75"/>
        <v>2.2597014925373133</v>
      </c>
      <c r="AG87" s="239">
        <f t="shared" si="76"/>
        <v>2.174041297935103</v>
      </c>
      <c r="AH87" s="244" t="s">
        <v>207</v>
      </c>
      <c r="AI87" s="237">
        <v>5.16</v>
      </c>
      <c r="AJ87" s="241">
        <v>5.17</v>
      </c>
      <c r="AK87" s="241">
        <v>5.29</v>
      </c>
      <c r="AL87" s="241">
        <v>5.18</v>
      </c>
      <c r="AM87" s="241">
        <v>5.44</v>
      </c>
      <c r="AN87" s="241">
        <v>5.31</v>
      </c>
      <c r="AO87" s="241">
        <v>5.12</v>
      </c>
      <c r="AP87" s="241">
        <v>4.9</v>
      </c>
      <c r="AQ87" s="238">
        <v>5.22</v>
      </c>
      <c r="AR87" s="239">
        <v>4.58</v>
      </c>
      <c r="AS87" s="237">
        <v>2.85</v>
      </c>
      <c r="AT87" s="241">
        <v>2.92</v>
      </c>
      <c r="AU87" s="241">
        <v>2.87</v>
      </c>
      <c r="AV87" s="241">
        <v>2.93</v>
      </c>
      <c r="AW87" s="241">
        <v>3.1</v>
      </c>
      <c r="AX87" s="241">
        <v>2.87</v>
      </c>
      <c r="AY87" s="241">
        <v>2.88</v>
      </c>
      <c r="AZ87" s="241">
        <v>2.92</v>
      </c>
      <c r="BA87" s="238">
        <v>2.85</v>
      </c>
      <c r="BB87" s="239">
        <v>2.93</v>
      </c>
      <c r="BC87" s="237">
        <f t="shared" si="35"/>
        <v>1.8105263157894738</v>
      </c>
      <c r="BD87" s="238">
        <f t="shared" si="36"/>
        <v>1.7705479452054795</v>
      </c>
      <c r="BE87" s="238">
        <f t="shared" si="37"/>
        <v>1.843205574912892</v>
      </c>
      <c r="BF87" s="238">
        <f t="shared" si="38"/>
        <v>1.7679180887372012</v>
      </c>
      <c r="BG87" s="238">
        <f t="shared" si="39"/>
        <v>1.7548387096774194</v>
      </c>
      <c r="BH87" s="238">
        <f t="shared" si="40"/>
        <v>1.8501742160278745</v>
      </c>
      <c r="BI87" s="238">
        <f t="shared" si="41"/>
        <v>1.777777777777778</v>
      </c>
      <c r="BJ87" s="238">
        <f t="shared" si="42"/>
        <v>1.6780821917808222</v>
      </c>
      <c r="BK87" s="238">
        <f t="shared" si="43"/>
        <v>1.831578947368421</v>
      </c>
      <c r="BL87" s="238">
        <f t="shared" si="44"/>
        <v>1.5631399317406143</v>
      </c>
      <c r="BM87" s="373">
        <v>25.56</v>
      </c>
      <c r="BN87" s="373">
        <v>17.68</v>
      </c>
      <c r="BO87" s="374">
        <f t="shared" si="66"/>
        <v>0.6917057902973396</v>
      </c>
      <c r="BP87" s="373">
        <v>17.2</v>
      </c>
      <c r="BQ87" s="242">
        <f t="shared" si="65"/>
        <v>0.672926447574335</v>
      </c>
      <c r="BS87" s="234"/>
    </row>
    <row r="88" spans="1:71" ht="15">
      <c r="A88" s="194">
        <v>1671</v>
      </c>
      <c r="B88" s="244" t="s">
        <v>208</v>
      </c>
      <c r="C88" s="236">
        <v>3</v>
      </c>
      <c r="D88" s="237">
        <v>8.53</v>
      </c>
      <c r="E88" s="238">
        <v>8.06</v>
      </c>
      <c r="F88" s="238">
        <v>8.03</v>
      </c>
      <c r="G88" s="238">
        <v>7.13</v>
      </c>
      <c r="H88" s="238">
        <v>7.54</v>
      </c>
      <c r="I88" s="238">
        <v>7.72</v>
      </c>
      <c r="J88" s="238">
        <v>8.06</v>
      </c>
      <c r="K88" s="238">
        <v>7.92</v>
      </c>
      <c r="L88" s="238">
        <v>7.21</v>
      </c>
      <c r="M88" s="239">
        <v>8.25</v>
      </c>
      <c r="N88" s="237">
        <v>3.82</v>
      </c>
      <c r="O88" s="238">
        <v>3.81</v>
      </c>
      <c r="P88" s="238">
        <v>3.61</v>
      </c>
      <c r="Q88" s="238">
        <v>3.8</v>
      </c>
      <c r="R88" s="238">
        <v>3.91</v>
      </c>
      <c r="S88" s="238">
        <v>3.62</v>
      </c>
      <c r="T88" s="238">
        <v>3.66</v>
      </c>
      <c r="U88" s="238">
        <v>3.72</v>
      </c>
      <c r="V88" s="238">
        <v>3.53</v>
      </c>
      <c r="W88" s="240">
        <v>3.6</v>
      </c>
      <c r="X88" s="237">
        <f t="shared" si="67"/>
        <v>2.2329842931937174</v>
      </c>
      <c r="Y88" s="238">
        <f t="shared" si="68"/>
        <v>2.115485564304462</v>
      </c>
      <c r="Z88" s="238">
        <f t="shared" si="69"/>
        <v>2.224376731301939</v>
      </c>
      <c r="AA88" s="238">
        <f t="shared" si="70"/>
        <v>1.8763157894736844</v>
      </c>
      <c r="AB88" s="238">
        <f t="shared" si="71"/>
        <v>1.928388746803069</v>
      </c>
      <c r="AC88" s="238">
        <f t="shared" si="72"/>
        <v>2.1325966850828726</v>
      </c>
      <c r="AD88" s="238">
        <f t="shared" si="73"/>
        <v>2.202185792349727</v>
      </c>
      <c r="AE88" s="238">
        <f t="shared" si="74"/>
        <v>2.129032258064516</v>
      </c>
      <c r="AF88" s="238">
        <f t="shared" si="75"/>
        <v>2.0424929178470257</v>
      </c>
      <c r="AG88" s="239">
        <f t="shared" si="76"/>
        <v>2.2916666666666665</v>
      </c>
      <c r="AH88" s="244" t="s">
        <v>208</v>
      </c>
      <c r="AI88" s="237">
        <v>5.45</v>
      </c>
      <c r="AJ88" s="241">
        <v>5.49</v>
      </c>
      <c r="AK88" s="241">
        <v>5.61</v>
      </c>
      <c r="AL88" s="241">
        <v>5.5</v>
      </c>
      <c r="AM88" s="241">
        <v>5.55</v>
      </c>
      <c r="AN88" s="241">
        <v>5.17</v>
      </c>
      <c r="AO88" s="241">
        <v>5.29</v>
      </c>
      <c r="AP88" s="241">
        <v>5.25</v>
      </c>
      <c r="AQ88" s="238">
        <v>5.45</v>
      </c>
      <c r="AR88" s="239">
        <v>5.51</v>
      </c>
      <c r="AS88" s="237">
        <v>3.27</v>
      </c>
      <c r="AT88" s="241">
        <v>3.21</v>
      </c>
      <c r="AU88" s="241">
        <v>3.2</v>
      </c>
      <c r="AV88" s="241">
        <v>3.19</v>
      </c>
      <c r="AW88" s="241">
        <v>3.25</v>
      </c>
      <c r="AX88" s="241">
        <v>3.42</v>
      </c>
      <c r="AY88" s="241">
        <v>3.24</v>
      </c>
      <c r="AZ88" s="241">
        <v>3.27</v>
      </c>
      <c r="BA88" s="238">
        <v>3.23</v>
      </c>
      <c r="BB88" s="239">
        <v>3.3</v>
      </c>
      <c r="BC88" s="237">
        <f t="shared" si="35"/>
        <v>1.6666666666666667</v>
      </c>
      <c r="BD88" s="238">
        <f t="shared" si="36"/>
        <v>1.7102803738317758</v>
      </c>
      <c r="BE88" s="238">
        <f t="shared" si="37"/>
        <v>1.753125</v>
      </c>
      <c r="BF88" s="238">
        <f t="shared" si="38"/>
        <v>1.7241379310344829</v>
      </c>
      <c r="BG88" s="238">
        <f t="shared" si="39"/>
        <v>1.7076923076923076</v>
      </c>
      <c r="BH88" s="238">
        <f t="shared" si="40"/>
        <v>1.5116959064327486</v>
      </c>
      <c r="BI88" s="238">
        <f t="shared" si="41"/>
        <v>1.632716049382716</v>
      </c>
      <c r="BJ88" s="238">
        <f t="shared" si="42"/>
        <v>1.6055045871559632</v>
      </c>
      <c r="BK88" s="238">
        <f t="shared" si="43"/>
        <v>1.6873065015479878</v>
      </c>
      <c r="BL88" s="238">
        <f t="shared" si="44"/>
        <v>1.6696969696969697</v>
      </c>
      <c r="BM88" s="373">
        <v>32.35</v>
      </c>
      <c r="BN88" s="373">
        <v>22.22</v>
      </c>
      <c r="BO88" s="374">
        <f t="shared" si="66"/>
        <v>0.6868624420401854</v>
      </c>
      <c r="BP88" s="373">
        <v>19.63</v>
      </c>
      <c r="BQ88" s="242">
        <f t="shared" si="65"/>
        <v>0.6068006182380216</v>
      </c>
      <c r="BS88" s="234"/>
    </row>
    <row r="89" spans="1:71" ht="15">
      <c r="A89" s="194">
        <v>1672</v>
      </c>
      <c r="B89" s="244" t="s">
        <v>209</v>
      </c>
      <c r="C89" s="236">
        <v>3</v>
      </c>
      <c r="D89" s="237">
        <v>9.73</v>
      </c>
      <c r="E89" s="238">
        <v>9.49</v>
      </c>
      <c r="F89" s="238">
        <v>9.47</v>
      </c>
      <c r="G89" s="238">
        <v>8.91</v>
      </c>
      <c r="H89" s="238">
        <v>10.17</v>
      </c>
      <c r="I89" s="238">
        <v>9.84</v>
      </c>
      <c r="J89" s="238">
        <v>10.38</v>
      </c>
      <c r="K89" s="238">
        <v>9.78</v>
      </c>
      <c r="L89" s="238">
        <v>10.32</v>
      </c>
      <c r="M89" s="239">
        <v>9.52</v>
      </c>
      <c r="N89" s="237">
        <v>2.58</v>
      </c>
      <c r="O89" s="238">
        <v>2.7</v>
      </c>
      <c r="P89" s="238">
        <v>2.52</v>
      </c>
      <c r="Q89" s="238">
        <v>2.39</v>
      </c>
      <c r="R89" s="238">
        <v>2.6</v>
      </c>
      <c r="S89" s="238">
        <v>2.52</v>
      </c>
      <c r="T89" s="238">
        <v>2.54</v>
      </c>
      <c r="U89" s="238">
        <v>2.56</v>
      </c>
      <c r="V89" s="238">
        <v>2.68</v>
      </c>
      <c r="W89" s="240">
        <v>2.45</v>
      </c>
      <c r="X89" s="237">
        <f t="shared" si="67"/>
        <v>3.7713178294573644</v>
      </c>
      <c r="Y89" s="238">
        <f t="shared" si="68"/>
        <v>3.5148148148148146</v>
      </c>
      <c r="Z89" s="238">
        <f t="shared" si="69"/>
        <v>3.7579365079365084</v>
      </c>
      <c r="AA89" s="238">
        <f t="shared" si="70"/>
        <v>3.728033472803347</v>
      </c>
      <c r="AB89" s="238">
        <f t="shared" si="71"/>
        <v>3.9115384615384614</v>
      </c>
      <c r="AC89" s="238">
        <f t="shared" si="72"/>
        <v>3.9047619047619047</v>
      </c>
      <c r="AD89" s="238">
        <f t="shared" si="73"/>
        <v>4.086614173228346</v>
      </c>
      <c r="AE89" s="238">
        <f t="shared" si="74"/>
        <v>3.8203124999999996</v>
      </c>
      <c r="AF89" s="238">
        <f t="shared" si="75"/>
        <v>3.8507462686567164</v>
      </c>
      <c r="AG89" s="239">
        <f t="shared" si="76"/>
        <v>3.8857142857142852</v>
      </c>
      <c r="AH89" s="244" t="s">
        <v>209</v>
      </c>
      <c r="AI89" s="237">
        <v>7.13</v>
      </c>
      <c r="AJ89" s="241">
        <v>6.65</v>
      </c>
      <c r="AK89" s="241">
        <v>7.32</v>
      </c>
      <c r="AL89" s="241">
        <v>8.09</v>
      </c>
      <c r="AM89" s="241">
        <v>7.1</v>
      </c>
      <c r="AN89" s="241">
        <v>7.03</v>
      </c>
      <c r="AO89" s="241">
        <v>8.02</v>
      </c>
      <c r="AP89" s="241">
        <v>7.17</v>
      </c>
      <c r="AQ89" s="238">
        <v>6.95</v>
      </c>
      <c r="AR89" s="239">
        <v>6.81</v>
      </c>
      <c r="AS89" s="237">
        <v>2.1</v>
      </c>
      <c r="AT89" s="241">
        <v>2.06</v>
      </c>
      <c r="AU89" s="241">
        <v>2.21</v>
      </c>
      <c r="AV89" s="241">
        <v>2.05</v>
      </c>
      <c r="AW89" s="241">
        <v>2.12</v>
      </c>
      <c r="AX89" s="241">
        <v>2.11</v>
      </c>
      <c r="AY89" s="241">
        <v>2.18</v>
      </c>
      <c r="AZ89" s="241">
        <v>2.16</v>
      </c>
      <c r="BA89" s="238">
        <v>2.08</v>
      </c>
      <c r="BB89" s="239">
        <v>1.97</v>
      </c>
      <c r="BC89" s="237">
        <f t="shared" si="35"/>
        <v>3.395238095238095</v>
      </c>
      <c r="BD89" s="238">
        <f t="shared" si="36"/>
        <v>3.2281553398058254</v>
      </c>
      <c r="BE89" s="238">
        <f t="shared" si="37"/>
        <v>3.312217194570136</v>
      </c>
      <c r="BF89" s="238">
        <f t="shared" si="38"/>
        <v>3.9463414634146345</v>
      </c>
      <c r="BG89" s="238">
        <f t="shared" si="39"/>
        <v>3.3490566037735845</v>
      </c>
      <c r="BH89" s="238">
        <f t="shared" si="40"/>
        <v>3.3317535545023698</v>
      </c>
      <c r="BI89" s="238">
        <f t="shared" si="41"/>
        <v>3.678899082568807</v>
      </c>
      <c r="BJ89" s="238">
        <f t="shared" si="42"/>
        <v>3.319444444444444</v>
      </c>
      <c r="BK89" s="238">
        <f t="shared" si="43"/>
        <v>3.3413461538461537</v>
      </c>
      <c r="BL89" s="238">
        <f t="shared" si="44"/>
        <v>3.4568527918781724</v>
      </c>
      <c r="BM89" s="373">
        <v>23.59</v>
      </c>
      <c r="BN89" s="373">
        <v>16.29</v>
      </c>
      <c r="BO89" s="374">
        <f t="shared" si="66"/>
        <v>0.6905468418821534</v>
      </c>
      <c r="BP89" s="373">
        <v>15.32</v>
      </c>
      <c r="BQ89" s="242">
        <f t="shared" si="65"/>
        <v>0.6494277236116999</v>
      </c>
      <c r="BS89" s="234"/>
    </row>
    <row r="90" spans="1:71" ht="15">
      <c r="A90" s="194">
        <v>1673</v>
      </c>
      <c r="B90" s="244" t="s">
        <v>210</v>
      </c>
      <c r="C90" s="236">
        <v>1</v>
      </c>
      <c r="D90" s="237">
        <v>8.79</v>
      </c>
      <c r="E90" s="238">
        <v>9.7</v>
      </c>
      <c r="F90" s="238">
        <v>8.56</v>
      </c>
      <c r="G90" s="238">
        <v>9.1</v>
      </c>
      <c r="H90" s="238">
        <v>8.58</v>
      </c>
      <c r="I90" s="238">
        <v>9.36</v>
      </c>
      <c r="J90" s="238">
        <v>9.86</v>
      </c>
      <c r="K90" s="238">
        <v>9.36</v>
      </c>
      <c r="L90" s="238">
        <v>8.5</v>
      </c>
      <c r="M90" s="239">
        <v>8.26</v>
      </c>
      <c r="N90" s="237">
        <v>2.83</v>
      </c>
      <c r="O90" s="238">
        <v>2.91</v>
      </c>
      <c r="P90" s="238">
        <v>2.62</v>
      </c>
      <c r="Q90" s="238">
        <v>2.78</v>
      </c>
      <c r="R90" s="238">
        <v>2.64</v>
      </c>
      <c r="S90" s="238">
        <v>2.69</v>
      </c>
      <c r="T90" s="238">
        <v>2.8</v>
      </c>
      <c r="U90" s="238">
        <v>2.6</v>
      </c>
      <c r="V90" s="238">
        <v>2.61</v>
      </c>
      <c r="W90" s="240">
        <v>2.54</v>
      </c>
      <c r="X90" s="237">
        <f t="shared" si="67"/>
        <v>3.1060070671378086</v>
      </c>
      <c r="Y90" s="238">
        <f t="shared" si="68"/>
        <v>3.333333333333333</v>
      </c>
      <c r="Z90" s="238">
        <f t="shared" si="69"/>
        <v>3.267175572519084</v>
      </c>
      <c r="AA90" s="238">
        <f t="shared" si="70"/>
        <v>3.273381294964029</v>
      </c>
      <c r="AB90" s="238">
        <f t="shared" si="71"/>
        <v>3.25</v>
      </c>
      <c r="AC90" s="238">
        <f t="shared" si="72"/>
        <v>3.4795539033457246</v>
      </c>
      <c r="AD90" s="238">
        <f t="shared" si="73"/>
        <v>3.5214285714285714</v>
      </c>
      <c r="AE90" s="238">
        <f t="shared" si="74"/>
        <v>3.5999999999999996</v>
      </c>
      <c r="AF90" s="238">
        <f t="shared" si="75"/>
        <v>3.256704980842912</v>
      </c>
      <c r="AG90" s="239">
        <f t="shared" si="76"/>
        <v>3.251968503937008</v>
      </c>
      <c r="AH90" s="244" t="s">
        <v>210</v>
      </c>
      <c r="AI90" s="237">
        <v>6.75</v>
      </c>
      <c r="AJ90" s="241">
        <v>6.71</v>
      </c>
      <c r="AK90" s="241">
        <v>6.92</v>
      </c>
      <c r="AL90" s="241">
        <v>6.91</v>
      </c>
      <c r="AM90" s="241">
        <v>6.93</v>
      </c>
      <c r="AN90" s="241">
        <v>6.79</v>
      </c>
      <c r="AO90" s="241">
        <v>7.01</v>
      </c>
      <c r="AP90" s="241">
        <v>6.68</v>
      </c>
      <c r="AQ90" s="238">
        <v>7</v>
      </c>
      <c r="AR90" s="239">
        <v>6.54</v>
      </c>
      <c r="AS90" s="237">
        <v>2.27</v>
      </c>
      <c r="AT90" s="241">
        <v>2.36</v>
      </c>
      <c r="AU90" s="241">
        <v>2.35</v>
      </c>
      <c r="AV90" s="241">
        <v>2.41</v>
      </c>
      <c r="AW90" s="241">
        <v>2.33</v>
      </c>
      <c r="AX90" s="241">
        <v>2.33</v>
      </c>
      <c r="AY90" s="241">
        <v>2.33</v>
      </c>
      <c r="AZ90" s="241">
        <v>2.31</v>
      </c>
      <c r="BA90" s="238">
        <v>2.28</v>
      </c>
      <c r="BB90" s="239">
        <v>2.47</v>
      </c>
      <c r="BC90" s="237">
        <f aca="true" t="shared" si="77" ref="BC90:BC122">AI90/AS90</f>
        <v>2.973568281938326</v>
      </c>
      <c r="BD90" s="238">
        <f aca="true" t="shared" si="78" ref="BD90:BD122">AJ90/AT90</f>
        <v>2.843220338983051</v>
      </c>
      <c r="BE90" s="238">
        <f aca="true" t="shared" si="79" ref="BE90:BE122">AK90/AU90</f>
        <v>2.9446808510638296</v>
      </c>
      <c r="BF90" s="238">
        <f aca="true" t="shared" si="80" ref="BF90:BF122">AL90/AV90</f>
        <v>2.867219917012448</v>
      </c>
      <c r="BG90" s="238">
        <f aca="true" t="shared" si="81" ref="BG90:BG122">AM90/AW90</f>
        <v>2.9742489270386265</v>
      </c>
      <c r="BH90" s="238">
        <f aca="true" t="shared" si="82" ref="BH90:BH122">AN90/AX90</f>
        <v>2.9141630901287554</v>
      </c>
      <c r="BI90" s="238">
        <f aca="true" t="shared" si="83" ref="BI90:BI122">AO90/AY90</f>
        <v>3.008583690987124</v>
      </c>
      <c r="BJ90" s="238">
        <f aca="true" t="shared" si="84" ref="BJ90:BJ122">AP90/AZ90</f>
        <v>2.8917748917748916</v>
      </c>
      <c r="BK90" s="238">
        <f aca="true" t="shared" si="85" ref="BK90:BK122">AQ90/BA90</f>
        <v>3.0701754385964914</v>
      </c>
      <c r="BL90" s="238">
        <f aca="true" t="shared" si="86" ref="BL90:BL122">AR90/BB90</f>
        <v>2.6477732793522266</v>
      </c>
      <c r="BM90" s="373">
        <v>23.96</v>
      </c>
      <c r="BN90" s="373">
        <v>17.09</v>
      </c>
      <c r="BO90" s="374">
        <f t="shared" si="66"/>
        <v>0.7132721202003338</v>
      </c>
      <c r="BP90" s="373">
        <v>13.95</v>
      </c>
      <c r="BQ90" s="242">
        <f t="shared" si="65"/>
        <v>0.582220367278798</v>
      </c>
      <c r="BS90" s="234"/>
    </row>
    <row r="91" spans="1:71" ht="15">
      <c r="A91" s="194">
        <v>1674</v>
      </c>
      <c r="B91" s="244" t="s">
        <v>211</v>
      </c>
      <c r="C91" s="236">
        <v>3</v>
      </c>
      <c r="D91" s="237">
        <v>9.07</v>
      </c>
      <c r="E91" s="238">
        <v>9.37</v>
      </c>
      <c r="F91" s="238">
        <v>9.34</v>
      </c>
      <c r="G91" s="238">
        <v>9.16</v>
      </c>
      <c r="H91" s="238">
        <v>9.38</v>
      </c>
      <c r="I91" s="238">
        <v>9.01</v>
      </c>
      <c r="J91" s="238">
        <v>8.93</v>
      </c>
      <c r="K91" s="238">
        <v>9.51</v>
      </c>
      <c r="L91" s="238">
        <v>9.12</v>
      </c>
      <c r="M91" s="239">
        <v>9.02</v>
      </c>
      <c r="N91" s="237">
        <v>2.94</v>
      </c>
      <c r="O91" s="238">
        <v>3.16</v>
      </c>
      <c r="P91" s="238">
        <v>3.12</v>
      </c>
      <c r="Q91" s="238">
        <v>3.08</v>
      </c>
      <c r="R91" s="238">
        <v>3.05</v>
      </c>
      <c r="S91" s="238">
        <v>3.04</v>
      </c>
      <c r="T91" s="238">
        <v>3.09</v>
      </c>
      <c r="U91" s="238">
        <v>3.01</v>
      </c>
      <c r="V91" s="238">
        <v>3.04</v>
      </c>
      <c r="W91" s="240">
        <v>3.09</v>
      </c>
      <c r="X91" s="237">
        <f t="shared" si="67"/>
        <v>3.0850340136054424</v>
      </c>
      <c r="Y91" s="238">
        <f t="shared" si="68"/>
        <v>2.9651898734177213</v>
      </c>
      <c r="Z91" s="238">
        <f t="shared" si="69"/>
        <v>2.9935897435897436</v>
      </c>
      <c r="AA91" s="238">
        <f t="shared" si="70"/>
        <v>2.974025974025974</v>
      </c>
      <c r="AB91" s="238">
        <f t="shared" si="71"/>
        <v>3.075409836065574</v>
      </c>
      <c r="AC91" s="238">
        <f t="shared" si="72"/>
        <v>2.963815789473684</v>
      </c>
      <c r="AD91" s="238">
        <f t="shared" si="73"/>
        <v>2.8899676375404533</v>
      </c>
      <c r="AE91" s="238">
        <f t="shared" si="74"/>
        <v>3.159468438538206</v>
      </c>
      <c r="AF91" s="238">
        <f t="shared" si="75"/>
        <v>2.9999999999999996</v>
      </c>
      <c r="AG91" s="239">
        <f t="shared" si="76"/>
        <v>2.9190938511326863</v>
      </c>
      <c r="AH91" s="244" t="s">
        <v>211</v>
      </c>
      <c r="AI91" s="237">
        <v>6.39</v>
      </c>
      <c r="AJ91" s="241">
        <v>6.49</v>
      </c>
      <c r="AK91" s="241">
        <v>6.82</v>
      </c>
      <c r="AL91" s="241">
        <v>6.49</v>
      </c>
      <c r="AM91" s="241">
        <v>6.6</v>
      </c>
      <c r="AN91" s="241">
        <v>6.69</v>
      </c>
      <c r="AO91" s="241">
        <v>6.86</v>
      </c>
      <c r="AP91" s="241">
        <v>6.8</v>
      </c>
      <c r="AQ91" s="238">
        <v>6.53</v>
      </c>
      <c r="AR91" s="239">
        <v>6.72</v>
      </c>
      <c r="AS91" s="237">
        <v>2.51</v>
      </c>
      <c r="AT91" s="241">
        <v>2.58</v>
      </c>
      <c r="AU91" s="241">
        <v>2.68</v>
      </c>
      <c r="AV91" s="241">
        <v>2.55</v>
      </c>
      <c r="AW91" s="241">
        <v>2.65</v>
      </c>
      <c r="AX91" s="241">
        <v>2.61</v>
      </c>
      <c r="AY91" s="241">
        <v>2.61</v>
      </c>
      <c r="AZ91" s="241">
        <v>2.68</v>
      </c>
      <c r="BA91" s="238">
        <v>2.5</v>
      </c>
      <c r="BB91" s="239">
        <v>2.61</v>
      </c>
      <c r="BC91" s="237">
        <f t="shared" si="77"/>
        <v>2.545816733067729</v>
      </c>
      <c r="BD91" s="238">
        <f t="shared" si="78"/>
        <v>2.5155038759689923</v>
      </c>
      <c r="BE91" s="238">
        <f t="shared" si="79"/>
        <v>2.544776119402985</v>
      </c>
      <c r="BF91" s="238">
        <f t="shared" si="80"/>
        <v>2.5450980392156866</v>
      </c>
      <c r="BG91" s="238">
        <f t="shared" si="81"/>
        <v>2.490566037735849</v>
      </c>
      <c r="BH91" s="238">
        <f t="shared" si="82"/>
        <v>2.563218390804598</v>
      </c>
      <c r="BI91" s="238">
        <f t="shared" si="83"/>
        <v>2.6283524904214564</v>
      </c>
      <c r="BJ91" s="238">
        <f t="shared" si="84"/>
        <v>2.5373134328358207</v>
      </c>
      <c r="BK91" s="238">
        <f t="shared" si="85"/>
        <v>2.612</v>
      </c>
      <c r="BL91" s="238">
        <f t="shared" si="86"/>
        <v>2.574712643678161</v>
      </c>
      <c r="BM91" s="373">
        <v>29.06</v>
      </c>
      <c r="BN91" s="373">
        <v>20.48</v>
      </c>
      <c r="BO91" s="374">
        <f t="shared" si="66"/>
        <v>0.7047487955953201</v>
      </c>
      <c r="BP91" s="373">
        <v>18.44</v>
      </c>
      <c r="BQ91" s="242">
        <f t="shared" si="65"/>
        <v>0.6345492085340675</v>
      </c>
      <c r="BS91" s="234"/>
    </row>
    <row r="92" spans="1:71" ht="15">
      <c r="A92" s="194">
        <v>1676</v>
      </c>
      <c r="B92" s="244" t="s">
        <v>212</v>
      </c>
      <c r="C92" s="236">
        <v>3</v>
      </c>
      <c r="D92" s="237">
        <v>8.41</v>
      </c>
      <c r="E92" s="238">
        <v>8.74</v>
      </c>
      <c r="F92" s="238">
        <v>8.48</v>
      </c>
      <c r="G92" s="238">
        <v>8.58</v>
      </c>
      <c r="H92" s="238">
        <v>8.78</v>
      </c>
      <c r="I92" s="238">
        <v>8.54</v>
      </c>
      <c r="J92" s="238">
        <v>9.13</v>
      </c>
      <c r="K92" s="238">
        <v>8.95</v>
      </c>
      <c r="L92" s="238">
        <v>8.83</v>
      </c>
      <c r="M92" s="239">
        <v>8.79</v>
      </c>
      <c r="N92" s="237">
        <v>3.41</v>
      </c>
      <c r="O92" s="238">
        <v>3.31</v>
      </c>
      <c r="P92" s="238">
        <v>3.09</v>
      </c>
      <c r="Q92" s="238">
        <v>3.32</v>
      </c>
      <c r="R92" s="238">
        <v>3.37</v>
      </c>
      <c r="S92" s="238">
        <v>3.17</v>
      </c>
      <c r="T92" s="238">
        <v>3.25</v>
      </c>
      <c r="U92" s="238">
        <v>3.44</v>
      </c>
      <c r="V92" s="238">
        <v>3.43</v>
      </c>
      <c r="W92" s="240">
        <v>3.26</v>
      </c>
      <c r="X92" s="237">
        <f t="shared" si="67"/>
        <v>2.466275659824047</v>
      </c>
      <c r="Y92" s="238">
        <f t="shared" si="68"/>
        <v>2.6404833836858006</v>
      </c>
      <c r="Z92" s="238">
        <f t="shared" si="69"/>
        <v>2.7443365695792883</v>
      </c>
      <c r="AA92" s="238">
        <f t="shared" si="70"/>
        <v>2.5843373493975905</v>
      </c>
      <c r="AB92" s="238">
        <f t="shared" si="71"/>
        <v>2.6053412462908008</v>
      </c>
      <c r="AC92" s="238">
        <f t="shared" si="72"/>
        <v>2.6940063091482647</v>
      </c>
      <c r="AD92" s="238">
        <f t="shared" si="73"/>
        <v>2.8092307692307696</v>
      </c>
      <c r="AE92" s="238">
        <f t="shared" si="74"/>
        <v>2.6017441860465116</v>
      </c>
      <c r="AF92" s="238">
        <f t="shared" si="75"/>
        <v>2.574344023323615</v>
      </c>
      <c r="AG92" s="239">
        <f t="shared" si="76"/>
        <v>2.6963190184049077</v>
      </c>
      <c r="AH92" s="244" t="s">
        <v>212</v>
      </c>
      <c r="AI92" s="237">
        <v>6.35</v>
      </c>
      <c r="AJ92" s="241">
        <v>6.13</v>
      </c>
      <c r="AK92" s="241">
        <v>5.99</v>
      </c>
      <c r="AL92" s="241">
        <v>5.92</v>
      </c>
      <c r="AM92" s="241">
        <v>5.83</v>
      </c>
      <c r="AN92" s="241">
        <v>6.01</v>
      </c>
      <c r="AO92" s="241">
        <v>6.47</v>
      </c>
      <c r="AP92" s="241">
        <v>6.09</v>
      </c>
      <c r="AQ92" s="238">
        <v>6.39</v>
      </c>
      <c r="AR92" s="239">
        <v>6.58</v>
      </c>
      <c r="AS92" s="237">
        <v>2.81</v>
      </c>
      <c r="AT92" s="241">
        <v>2.88</v>
      </c>
      <c r="AU92" s="241">
        <v>2.65</v>
      </c>
      <c r="AV92" s="241">
        <v>2.73</v>
      </c>
      <c r="AW92" s="241">
        <v>2.73</v>
      </c>
      <c r="AX92" s="241">
        <v>2.8</v>
      </c>
      <c r="AY92" s="241">
        <v>2.9</v>
      </c>
      <c r="AZ92" s="241">
        <v>2.86</v>
      </c>
      <c r="BA92" s="238">
        <v>2.71</v>
      </c>
      <c r="BB92" s="239">
        <v>2.82</v>
      </c>
      <c r="BC92" s="237">
        <f t="shared" si="77"/>
        <v>2.259786476868327</v>
      </c>
      <c r="BD92" s="238">
        <f t="shared" si="78"/>
        <v>2.1284722222222223</v>
      </c>
      <c r="BE92" s="238">
        <f t="shared" si="79"/>
        <v>2.260377358490566</v>
      </c>
      <c r="BF92" s="238">
        <f t="shared" si="80"/>
        <v>2.1684981684981683</v>
      </c>
      <c r="BG92" s="238">
        <f t="shared" si="81"/>
        <v>2.1355311355311355</v>
      </c>
      <c r="BH92" s="238">
        <f t="shared" si="82"/>
        <v>2.1464285714285714</v>
      </c>
      <c r="BI92" s="238">
        <f t="shared" si="83"/>
        <v>2.231034482758621</v>
      </c>
      <c r="BJ92" s="238">
        <f t="shared" si="84"/>
        <v>2.1293706293706296</v>
      </c>
      <c r="BK92" s="238">
        <f t="shared" si="85"/>
        <v>2.357933579335793</v>
      </c>
      <c r="BL92" s="238">
        <f t="shared" si="86"/>
        <v>2.3333333333333335</v>
      </c>
      <c r="BM92" s="373">
        <v>30.32</v>
      </c>
      <c r="BN92" s="373">
        <v>21.38</v>
      </c>
      <c r="BO92" s="374">
        <f t="shared" si="66"/>
        <v>0.7051451187335092</v>
      </c>
      <c r="BP92" s="373">
        <v>17.96</v>
      </c>
      <c r="BQ92" s="242">
        <f t="shared" si="65"/>
        <v>0.5923482849604221</v>
      </c>
      <c r="BS92" s="234"/>
    </row>
    <row r="93" spans="1:71" ht="15">
      <c r="A93" s="194">
        <v>1678</v>
      </c>
      <c r="B93" s="246" t="s">
        <v>213</v>
      </c>
      <c r="C93" s="236">
        <v>3</v>
      </c>
      <c r="D93" s="237">
        <v>9.81</v>
      </c>
      <c r="E93" s="238">
        <v>10.28</v>
      </c>
      <c r="F93" s="238">
        <v>10.23</v>
      </c>
      <c r="G93" s="238">
        <v>10.62</v>
      </c>
      <c r="H93" s="238">
        <v>9.63</v>
      </c>
      <c r="I93" s="238">
        <v>10.48</v>
      </c>
      <c r="J93" s="245">
        <v>9.72</v>
      </c>
      <c r="K93" s="238">
        <v>9.2</v>
      </c>
      <c r="L93" s="238">
        <v>10.01</v>
      </c>
      <c r="M93" s="239">
        <v>9.91</v>
      </c>
      <c r="N93" s="237">
        <v>2.95</v>
      </c>
      <c r="O93" s="238">
        <v>2.66</v>
      </c>
      <c r="P93" s="238">
        <v>2.43</v>
      </c>
      <c r="Q93" s="238">
        <v>2.44</v>
      </c>
      <c r="R93" s="238">
        <v>2.49</v>
      </c>
      <c r="S93" s="238">
        <v>2.74</v>
      </c>
      <c r="T93" s="245">
        <v>2.74</v>
      </c>
      <c r="U93" s="238">
        <v>2.88</v>
      </c>
      <c r="V93" s="238">
        <v>2.63</v>
      </c>
      <c r="W93" s="240">
        <v>2.86</v>
      </c>
      <c r="X93" s="237">
        <f t="shared" si="67"/>
        <v>3.325423728813559</v>
      </c>
      <c r="Y93" s="238">
        <f t="shared" si="68"/>
        <v>3.864661654135338</v>
      </c>
      <c r="Z93" s="238">
        <f t="shared" si="69"/>
        <v>4.209876543209877</v>
      </c>
      <c r="AA93" s="238">
        <f t="shared" si="70"/>
        <v>4.352459016393443</v>
      </c>
      <c r="AB93" s="238">
        <f t="shared" si="71"/>
        <v>3.8674698795180724</v>
      </c>
      <c r="AC93" s="238">
        <f t="shared" si="72"/>
        <v>3.824817518248175</v>
      </c>
      <c r="AD93" s="238">
        <f t="shared" si="73"/>
        <v>3.5474452554744524</v>
      </c>
      <c r="AE93" s="238">
        <f t="shared" si="74"/>
        <v>3.194444444444444</v>
      </c>
      <c r="AF93" s="238">
        <f t="shared" si="75"/>
        <v>3.8060836501901143</v>
      </c>
      <c r="AG93" s="239">
        <f t="shared" si="76"/>
        <v>3.4650349650349654</v>
      </c>
      <c r="AH93" s="246" t="s">
        <v>213</v>
      </c>
      <c r="AI93" s="237">
        <v>7.19</v>
      </c>
      <c r="AJ93" s="241">
        <v>6.2</v>
      </c>
      <c r="AK93" s="241">
        <v>7.96</v>
      </c>
      <c r="AL93" s="241">
        <v>7.22</v>
      </c>
      <c r="AM93" s="241">
        <v>7.41</v>
      </c>
      <c r="AN93" s="241">
        <v>7.7</v>
      </c>
      <c r="AO93" s="241">
        <v>7.51</v>
      </c>
      <c r="AP93" s="241">
        <v>6.86</v>
      </c>
      <c r="AQ93" s="238">
        <v>7.52</v>
      </c>
      <c r="AR93" s="239">
        <v>7.71</v>
      </c>
      <c r="AS93" s="237">
        <v>2.46</v>
      </c>
      <c r="AT93" s="241">
        <v>2.38</v>
      </c>
      <c r="AU93" s="241">
        <v>2.37</v>
      </c>
      <c r="AV93" s="241">
        <v>2.15</v>
      </c>
      <c r="AW93" s="241">
        <v>2.31</v>
      </c>
      <c r="AX93" s="241">
        <v>2.17</v>
      </c>
      <c r="AY93" s="241">
        <v>2.26</v>
      </c>
      <c r="AZ93" s="241">
        <v>2.28</v>
      </c>
      <c r="BA93" s="238">
        <v>2.22</v>
      </c>
      <c r="BB93" s="239">
        <v>2.18</v>
      </c>
      <c r="BC93" s="237">
        <f t="shared" si="77"/>
        <v>2.9227642276422765</v>
      </c>
      <c r="BD93" s="238">
        <f t="shared" si="78"/>
        <v>2.6050420168067228</v>
      </c>
      <c r="BE93" s="238">
        <f t="shared" si="79"/>
        <v>3.3586497890295357</v>
      </c>
      <c r="BF93" s="238">
        <f t="shared" si="80"/>
        <v>3.358139534883721</v>
      </c>
      <c r="BG93" s="238">
        <f t="shared" si="81"/>
        <v>3.207792207792208</v>
      </c>
      <c r="BH93" s="238">
        <f t="shared" si="82"/>
        <v>3.548387096774194</v>
      </c>
      <c r="BI93" s="238">
        <f t="shared" si="83"/>
        <v>3.3230088495575223</v>
      </c>
      <c r="BJ93" s="238">
        <f t="shared" si="84"/>
        <v>3.0087719298245617</v>
      </c>
      <c r="BK93" s="238">
        <f t="shared" si="85"/>
        <v>3.387387387387387</v>
      </c>
      <c r="BL93" s="238">
        <f t="shared" si="86"/>
        <v>3.536697247706422</v>
      </c>
      <c r="BM93" s="373">
        <v>27.5</v>
      </c>
      <c r="BN93" s="373">
        <v>19.35</v>
      </c>
      <c r="BO93" s="374">
        <f t="shared" si="66"/>
        <v>0.7036363636363637</v>
      </c>
      <c r="BP93" s="373">
        <v>17.69</v>
      </c>
      <c r="BQ93" s="242">
        <f t="shared" si="65"/>
        <v>0.6432727272727273</v>
      </c>
      <c r="BS93" s="234"/>
    </row>
    <row r="94" spans="1:71" ht="15">
      <c r="A94" s="194">
        <v>1679</v>
      </c>
      <c r="B94" s="244" t="s">
        <v>214</v>
      </c>
      <c r="C94" s="236">
        <v>3</v>
      </c>
      <c r="D94" s="237">
        <v>8.74</v>
      </c>
      <c r="E94" s="238">
        <v>8.55</v>
      </c>
      <c r="F94" s="238">
        <v>8.86</v>
      </c>
      <c r="G94" s="238">
        <v>8.82</v>
      </c>
      <c r="H94" s="238">
        <v>8.92</v>
      </c>
      <c r="I94" s="238">
        <v>9.1</v>
      </c>
      <c r="J94" s="238">
        <v>9.16</v>
      </c>
      <c r="K94" s="238">
        <v>8.9</v>
      </c>
      <c r="L94" s="238">
        <v>9.35</v>
      </c>
      <c r="M94" s="239">
        <v>8.87</v>
      </c>
      <c r="N94" s="237">
        <v>2.94</v>
      </c>
      <c r="O94" s="238">
        <v>3.06</v>
      </c>
      <c r="P94" s="238">
        <v>3.02</v>
      </c>
      <c r="Q94" s="238">
        <v>2.86</v>
      </c>
      <c r="R94" s="238">
        <v>3.06</v>
      </c>
      <c r="S94" s="238">
        <v>3.12</v>
      </c>
      <c r="T94" s="238">
        <v>3.05</v>
      </c>
      <c r="U94" s="238">
        <v>3.04</v>
      </c>
      <c r="V94" s="238">
        <v>2.99</v>
      </c>
      <c r="W94" s="239">
        <v>3.05</v>
      </c>
      <c r="X94" s="237">
        <f t="shared" si="67"/>
        <v>2.9727891156462585</v>
      </c>
      <c r="Y94" s="238">
        <f t="shared" si="68"/>
        <v>2.794117647058824</v>
      </c>
      <c r="Z94" s="238">
        <f t="shared" si="69"/>
        <v>2.9337748344370858</v>
      </c>
      <c r="AA94" s="238">
        <f t="shared" si="70"/>
        <v>3.083916083916084</v>
      </c>
      <c r="AB94" s="238">
        <f t="shared" si="71"/>
        <v>2.915032679738562</v>
      </c>
      <c r="AC94" s="238">
        <f t="shared" si="72"/>
        <v>2.9166666666666665</v>
      </c>
      <c r="AD94" s="238">
        <f t="shared" si="73"/>
        <v>3.0032786885245906</v>
      </c>
      <c r="AE94" s="238">
        <f t="shared" si="74"/>
        <v>2.9276315789473686</v>
      </c>
      <c r="AF94" s="238">
        <f t="shared" si="75"/>
        <v>3.127090301003344</v>
      </c>
      <c r="AG94" s="239">
        <f t="shared" si="76"/>
        <v>2.908196721311475</v>
      </c>
      <c r="AH94" s="244" t="s">
        <v>214</v>
      </c>
      <c r="AI94" s="237">
        <v>6.89</v>
      </c>
      <c r="AJ94" s="241">
        <v>6.7</v>
      </c>
      <c r="AK94" s="241">
        <v>6.56</v>
      </c>
      <c r="AL94" s="241">
        <v>6.51</v>
      </c>
      <c r="AM94" s="241">
        <v>6.6</v>
      </c>
      <c r="AN94" s="241">
        <v>6.26</v>
      </c>
      <c r="AO94" s="241">
        <v>6.85</v>
      </c>
      <c r="AP94" s="241">
        <v>6.72</v>
      </c>
      <c r="AQ94" s="238">
        <v>6.66</v>
      </c>
      <c r="AR94" s="239">
        <v>6.4</v>
      </c>
      <c r="AS94" s="237">
        <v>2.61</v>
      </c>
      <c r="AT94" s="241">
        <v>2.5</v>
      </c>
      <c r="AU94" s="241">
        <v>2.66</v>
      </c>
      <c r="AV94" s="241">
        <v>2.68</v>
      </c>
      <c r="AW94" s="241">
        <v>2.64</v>
      </c>
      <c r="AX94" s="241">
        <v>2.56</v>
      </c>
      <c r="AY94" s="241">
        <v>2.65</v>
      </c>
      <c r="AZ94" s="241">
        <v>2.66</v>
      </c>
      <c r="BA94" s="238">
        <v>2.6</v>
      </c>
      <c r="BB94" s="239">
        <v>2.6</v>
      </c>
      <c r="BC94" s="237">
        <f t="shared" si="77"/>
        <v>2.6398467432950192</v>
      </c>
      <c r="BD94" s="238">
        <f t="shared" si="78"/>
        <v>2.68</v>
      </c>
      <c r="BE94" s="238">
        <f t="shared" si="79"/>
        <v>2.4661654135338344</v>
      </c>
      <c r="BF94" s="238">
        <f t="shared" si="80"/>
        <v>2.42910447761194</v>
      </c>
      <c r="BG94" s="238">
        <f t="shared" si="81"/>
        <v>2.4999999999999996</v>
      </c>
      <c r="BH94" s="238">
        <f t="shared" si="82"/>
        <v>2.4453125</v>
      </c>
      <c r="BI94" s="238">
        <f t="shared" si="83"/>
        <v>2.5849056603773586</v>
      </c>
      <c r="BJ94" s="238">
        <f t="shared" si="84"/>
        <v>2.526315789473684</v>
      </c>
      <c r="BK94" s="238">
        <f t="shared" si="85"/>
        <v>2.5615384615384613</v>
      </c>
      <c r="BL94" s="238">
        <f t="shared" si="86"/>
        <v>2.4615384615384617</v>
      </c>
      <c r="BM94" s="373">
        <v>28.76</v>
      </c>
      <c r="BN94" s="373">
        <v>20.51</v>
      </c>
      <c r="BO94" s="374">
        <f t="shared" si="66"/>
        <v>0.7131432545201669</v>
      </c>
      <c r="BP94" s="373">
        <v>19.87</v>
      </c>
      <c r="BQ94" s="242">
        <f t="shared" si="65"/>
        <v>0.6908901251738526</v>
      </c>
      <c r="BS94" s="234"/>
    </row>
    <row r="95" spans="1:71" ht="15">
      <c r="A95" s="194">
        <v>1680</v>
      </c>
      <c r="B95" s="244" t="s">
        <v>215</v>
      </c>
      <c r="C95" s="236">
        <v>3</v>
      </c>
      <c r="D95" s="237">
        <v>7.89</v>
      </c>
      <c r="E95" s="238">
        <v>7.51</v>
      </c>
      <c r="F95" s="238">
        <v>7.73</v>
      </c>
      <c r="G95" s="238">
        <v>7.55</v>
      </c>
      <c r="H95" s="238">
        <v>7.74</v>
      </c>
      <c r="I95" s="238">
        <v>7.52</v>
      </c>
      <c r="J95" s="238">
        <v>7.61</v>
      </c>
      <c r="K95" s="238">
        <v>7.46</v>
      </c>
      <c r="L95" s="238">
        <v>7.82</v>
      </c>
      <c r="M95" s="239">
        <v>7.71</v>
      </c>
      <c r="N95" s="237">
        <v>3.47</v>
      </c>
      <c r="O95" s="238">
        <v>3.12</v>
      </c>
      <c r="P95" s="238">
        <v>3.3</v>
      </c>
      <c r="Q95" s="238">
        <v>3.46</v>
      </c>
      <c r="R95" s="238">
        <v>3.51</v>
      </c>
      <c r="S95" s="238">
        <v>3.44</v>
      </c>
      <c r="T95" s="238">
        <v>3.48</v>
      </c>
      <c r="U95" s="238">
        <v>3.29</v>
      </c>
      <c r="V95" s="238">
        <v>3.66</v>
      </c>
      <c r="W95" s="239">
        <v>3.19</v>
      </c>
      <c r="X95" s="237">
        <f t="shared" si="67"/>
        <v>2.2737752161383282</v>
      </c>
      <c r="Y95" s="238">
        <f t="shared" si="68"/>
        <v>2.407051282051282</v>
      </c>
      <c r="Z95" s="238">
        <f t="shared" si="69"/>
        <v>2.3424242424242427</v>
      </c>
      <c r="AA95" s="238">
        <f t="shared" si="70"/>
        <v>2.1820809248554913</v>
      </c>
      <c r="AB95" s="238">
        <f t="shared" si="71"/>
        <v>2.2051282051282053</v>
      </c>
      <c r="AC95" s="238">
        <f t="shared" si="72"/>
        <v>2.186046511627907</v>
      </c>
      <c r="AD95" s="238">
        <f t="shared" si="73"/>
        <v>2.1867816091954024</v>
      </c>
      <c r="AE95" s="238">
        <f t="shared" si="74"/>
        <v>2.2674772036474162</v>
      </c>
      <c r="AF95" s="238">
        <f t="shared" si="75"/>
        <v>2.1366120218579234</v>
      </c>
      <c r="AG95" s="239">
        <f t="shared" si="76"/>
        <v>2.41692789968652</v>
      </c>
      <c r="AH95" s="244" t="s">
        <v>215</v>
      </c>
      <c r="AI95" s="237">
        <v>5.12</v>
      </c>
      <c r="AJ95" s="241">
        <v>5.4</v>
      </c>
      <c r="AK95" s="241">
        <v>5.28</v>
      </c>
      <c r="AL95" s="241">
        <v>5.08</v>
      </c>
      <c r="AM95" s="241">
        <v>5.33</v>
      </c>
      <c r="AN95" s="241">
        <v>5.42</v>
      </c>
      <c r="AO95" s="241">
        <v>4.97</v>
      </c>
      <c r="AP95" s="241">
        <v>5.02</v>
      </c>
      <c r="AQ95" s="238">
        <v>5.29</v>
      </c>
      <c r="AR95" s="239">
        <v>5.26</v>
      </c>
      <c r="AS95" s="237">
        <v>2.91</v>
      </c>
      <c r="AT95" s="241">
        <v>3.06</v>
      </c>
      <c r="AU95" s="241">
        <v>3.02</v>
      </c>
      <c r="AV95" s="241">
        <v>2.92</v>
      </c>
      <c r="AW95" s="241">
        <v>2.96</v>
      </c>
      <c r="AX95" s="241">
        <v>2.82</v>
      </c>
      <c r="AY95" s="241">
        <v>2.72</v>
      </c>
      <c r="AZ95" s="241">
        <v>2.9</v>
      </c>
      <c r="BA95" s="238">
        <v>2.9</v>
      </c>
      <c r="BB95" s="239">
        <v>2.85</v>
      </c>
      <c r="BC95" s="237">
        <f t="shared" si="77"/>
        <v>1.7594501718213058</v>
      </c>
      <c r="BD95" s="238">
        <f t="shared" si="78"/>
        <v>1.7647058823529413</v>
      </c>
      <c r="BE95" s="238">
        <f t="shared" si="79"/>
        <v>1.7483443708609272</v>
      </c>
      <c r="BF95" s="238">
        <f t="shared" si="80"/>
        <v>1.7397260273972603</v>
      </c>
      <c r="BG95" s="238">
        <f t="shared" si="81"/>
        <v>1.8006756756756757</v>
      </c>
      <c r="BH95" s="238">
        <f t="shared" si="82"/>
        <v>1.9219858156028369</v>
      </c>
      <c r="BI95" s="238">
        <f t="shared" si="83"/>
        <v>1.827205882352941</v>
      </c>
      <c r="BJ95" s="238">
        <f t="shared" si="84"/>
        <v>1.7310344827586206</v>
      </c>
      <c r="BK95" s="238">
        <f t="shared" si="85"/>
        <v>1.8241379310344827</v>
      </c>
      <c r="BL95" s="238">
        <f t="shared" si="86"/>
        <v>1.8456140350877193</v>
      </c>
      <c r="BM95" s="373">
        <v>27.32</v>
      </c>
      <c r="BN95" s="373">
        <v>19.44</v>
      </c>
      <c r="BO95" s="374">
        <f t="shared" si="66"/>
        <v>0.711566617862372</v>
      </c>
      <c r="BP95" s="373">
        <v>18.77</v>
      </c>
      <c r="BQ95" s="242">
        <f t="shared" si="65"/>
        <v>0.6870424597364568</v>
      </c>
      <c r="BS95" s="234"/>
    </row>
    <row r="96" spans="1:71" ht="15">
      <c r="A96" s="194">
        <v>1681</v>
      </c>
      <c r="B96" s="244" t="s">
        <v>216</v>
      </c>
      <c r="C96" s="236">
        <v>3</v>
      </c>
      <c r="D96" s="237">
        <v>7.62</v>
      </c>
      <c r="E96" s="238">
        <v>7.68</v>
      </c>
      <c r="F96" s="238">
        <v>7.54</v>
      </c>
      <c r="G96" s="238">
        <v>7.67</v>
      </c>
      <c r="H96" s="238">
        <v>7.58</v>
      </c>
      <c r="I96" s="238">
        <v>7.6</v>
      </c>
      <c r="J96" s="238">
        <v>8.1</v>
      </c>
      <c r="K96" s="238">
        <v>7.39</v>
      </c>
      <c r="L96" s="238">
        <v>7.55</v>
      </c>
      <c r="M96" s="239">
        <v>7.88</v>
      </c>
      <c r="N96" s="237">
        <v>2.96</v>
      </c>
      <c r="O96" s="238">
        <v>2.97</v>
      </c>
      <c r="P96" s="238">
        <v>3.11</v>
      </c>
      <c r="Q96" s="238">
        <v>3</v>
      </c>
      <c r="R96" s="238">
        <v>2.89</v>
      </c>
      <c r="S96" s="245">
        <v>3.03</v>
      </c>
      <c r="T96" s="238">
        <v>3</v>
      </c>
      <c r="U96" s="238">
        <v>2.97</v>
      </c>
      <c r="V96" s="238">
        <v>2.96</v>
      </c>
      <c r="W96" s="239">
        <v>3.01</v>
      </c>
      <c r="X96" s="237">
        <f t="shared" si="67"/>
        <v>2.5743243243243246</v>
      </c>
      <c r="Y96" s="238">
        <f t="shared" si="68"/>
        <v>2.5858585858585856</v>
      </c>
      <c r="Z96" s="238">
        <f t="shared" si="69"/>
        <v>2.42443729903537</v>
      </c>
      <c r="AA96" s="238">
        <f t="shared" si="70"/>
        <v>2.5566666666666666</v>
      </c>
      <c r="AB96" s="238">
        <f t="shared" si="71"/>
        <v>2.6228373702422143</v>
      </c>
      <c r="AC96" s="238">
        <f t="shared" si="72"/>
        <v>2.5082508250825084</v>
      </c>
      <c r="AD96" s="238">
        <f t="shared" si="73"/>
        <v>2.6999999999999997</v>
      </c>
      <c r="AE96" s="238">
        <f t="shared" si="74"/>
        <v>2.488215488215488</v>
      </c>
      <c r="AF96" s="238">
        <f t="shared" si="75"/>
        <v>2.5506756756756754</v>
      </c>
      <c r="AG96" s="239">
        <f t="shared" si="76"/>
        <v>2.6179401993355484</v>
      </c>
      <c r="AH96" s="244" t="s">
        <v>216</v>
      </c>
      <c r="AI96" s="237">
        <v>5.44</v>
      </c>
      <c r="AJ96" s="241">
        <v>5.17</v>
      </c>
      <c r="AK96" s="241">
        <v>5.39</v>
      </c>
      <c r="AL96" s="241">
        <v>4.79</v>
      </c>
      <c r="AM96" s="241">
        <v>5.32</v>
      </c>
      <c r="AN96" s="241">
        <v>5.02</v>
      </c>
      <c r="AO96" s="241">
        <v>5.2</v>
      </c>
      <c r="AP96" s="241">
        <v>5.5</v>
      </c>
      <c r="AQ96" s="238">
        <v>4.92</v>
      </c>
      <c r="AR96" s="239">
        <v>5.06</v>
      </c>
      <c r="AS96" s="237">
        <v>3.02</v>
      </c>
      <c r="AT96" s="241">
        <v>2.48</v>
      </c>
      <c r="AU96" s="241">
        <v>2.55</v>
      </c>
      <c r="AV96" s="241">
        <v>2.46</v>
      </c>
      <c r="AW96" s="241">
        <v>2.5</v>
      </c>
      <c r="AX96" s="241">
        <v>2.54</v>
      </c>
      <c r="AY96" s="241">
        <v>2.57</v>
      </c>
      <c r="AZ96" s="241">
        <v>2.52</v>
      </c>
      <c r="BA96" s="238">
        <v>2.59</v>
      </c>
      <c r="BB96" s="239">
        <v>2.44</v>
      </c>
      <c r="BC96" s="237">
        <f t="shared" si="77"/>
        <v>1.8013245033112584</v>
      </c>
      <c r="BD96" s="238">
        <f t="shared" si="78"/>
        <v>2.0846774193548385</v>
      </c>
      <c r="BE96" s="238">
        <f t="shared" si="79"/>
        <v>2.1137254901960785</v>
      </c>
      <c r="BF96" s="238">
        <f t="shared" si="80"/>
        <v>1.9471544715447155</v>
      </c>
      <c r="BG96" s="238">
        <f t="shared" si="81"/>
        <v>2.128</v>
      </c>
      <c r="BH96" s="238">
        <f t="shared" si="82"/>
        <v>1.9763779527559053</v>
      </c>
      <c r="BI96" s="238">
        <f t="shared" si="83"/>
        <v>2.023346303501946</v>
      </c>
      <c r="BJ96" s="238">
        <f t="shared" si="84"/>
        <v>2.1825396825396823</v>
      </c>
      <c r="BK96" s="238">
        <f t="shared" si="85"/>
        <v>1.8996138996138996</v>
      </c>
      <c r="BL96" s="238">
        <f t="shared" si="86"/>
        <v>2.0737704918032787</v>
      </c>
      <c r="BM96" s="375">
        <v>21.23</v>
      </c>
      <c r="BN96" s="375">
        <v>14.56</v>
      </c>
      <c r="BO96" s="376">
        <f t="shared" si="66"/>
        <v>0.6858219500706547</v>
      </c>
      <c r="BP96" s="375">
        <v>14.37</v>
      </c>
      <c r="BQ96" s="250">
        <f>BP96/BM96</f>
        <v>0.67687235044748</v>
      </c>
      <c r="BS96" s="234"/>
    </row>
    <row r="97" spans="1:71" ht="15">
      <c r="A97" s="194">
        <v>1682</v>
      </c>
      <c r="B97" s="244" t="s">
        <v>217</v>
      </c>
      <c r="C97" s="236">
        <v>1</v>
      </c>
      <c r="D97" s="237">
        <v>10.6</v>
      </c>
      <c r="E97" s="238">
        <v>9.61</v>
      </c>
      <c r="F97" s="238">
        <v>10.67</v>
      </c>
      <c r="G97" s="238">
        <v>10.29</v>
      </c>
      <c r="H97" s="238">
        <v>10.61</v>
      </c>
      <c r="I97" s="238">
        <v>10.12</v>
      </c>
      <c r="J97" s="238">
        <v>10.28</v>
      </c>
      <c r="K97" s="238">
        <v>9.63</v>
      </c>
      <c r="L97" s="238">
        <v>10.27</v>
      </c>
      <c r="M97" s="239">
        <v>9.8</v>
      </c>
      <c r="N97" s="237">
        <v>2.51</v>
      </c>
      <c r="O97" s="238">
        <v>2.49</v>
      </c>
      <c r="P97" s="238">
        <v>2.53</v>
      </c>
      <c r="Q97" s="238">
        <v>2.53</v>
      </c>
      <c r="R97" s="238">
        <v>2.67</v>
      </c>
      <c r="S97" s="238">
        <v>2.58</v>
      </c>
      <c r="T97" s="238">
        <v>2.61</v>
      </c>
      <c r="U97" s="238">
        <v>2.52</v>
      </c>
      <c r="V97" s="238">
        <v>2.58</v>
      </c>
      <c r="W97" s="239">
        <v>2.56</v>
      </c>
      <c r="X97" s="237">
        <f t="shared" si="67"/>
        <v>4.223107569721115</v>
      </c>
      <c r="Y97" s="238">
        <f t="shared" si="68"/>
        <v>3.8594377510040156</v>
      </c>
      <c r="Z97" s="238">
        <f t="shared" si="69"/>
        <v>4.217391304347826</v>
      </c>
      <c r="AA97" s="238">
        <f t="shared" si="70"/>
        <v>4.067193675889328</v>
      </c>
      <c r="AB97" s="238">
        <f t="shared" si="71"/>
        <v>3.9737827715355802</v>
      </c>
      <c r="AC97" s="238">
        <f t="shared" si="72"/>
        <v>3.922480620155038</v>
      </c>
      <c r="AD97" s="238">
        <f t="shared" si="73"/>
        <v>3.9386973180076628</v>
      </c>
      <c r="AE97" s="238">
        <f t="shared" si="74"/>
        <v>3.8214285714285716</v>
      </c>
      <c r="AF97" s="238">
        <f t="shared" si="75"/>
        <v>3.980620155038759</v>
      </c>
      <c r="AG97" s="239">
        <f t="shared" si="76"/>
        <v>3.828125</v>
      </c>
      <c r="AH97" s="244" t="s">
        <v>217</v>
      </c>
      <c r="AI97" s="237">
        <v>7.55</v>
      </c>
      <c r="AJ97" s="241">
        <v>7.15</v>
      </c>
      <c r="AK97" s="241">
        <v>7.92</v>
      </c>
      <c r="AL97" s="241">
        <v>7.5</v>
      </c>
      <c r="AM97" s="241">
        <v>7.7</v>
      </c>
      <c r="AN97" s="241">
        <v>7.94</v>
      </c>
      <c r="AO97" s="241">
        <v>7.58</v>
      </c>
      <c r="AP97" s="241">
        <v>7.62</v>
      </c>
      <c r="AQ97" s="238">
        <v>7.7</v>
      </c>
      <c r="AR97" s="239">
        <v>7.622</v>
      </c>
      <c r="AS97" s="237">
        <v>2.25</v>
      </c>
      <c r="AT97" s="241">
        <v>2.2</v>
      </c>
      <c r="AU97" s="241">
        <v>2.28</v>
      </c>
      <c r="AV97" s="241">
        <v>2.12</v>
      </c>
      <c r="AW97" s="241">
        <v>2.23</v>
      </c>
      <c r="AX97" s="241">
        <v>2.17</v>
      </c>
      <c r="AY97" s="241">
        <v>2.19</v>
      </c>
      <c r="AZ97" s="241">
        <v>2.15</v>
      </c>
      <c r="BA97" s="238">
        <v>2.26</v>
      </c>
      <c r="BB97" s="239">
        <v>2.33</v>
      </c>
      <c r="BC97" s="237">
        <f t="shared" si="77"/>
        <v>3.3555555555555556</v>
      </c>
      <c r="BD97" s="238">
        <f t="shared" si="78"/>
        <v>3.25</v>
      </c>
      <c r="BE97" s="238">
        <f t="shared" si="79"/>
        <v>3.473684210526316</v>
      </c>
      <c r="BF97" s="238">
        <f t="shared" si="80"/>
        <v>3.5377358490566038</v>
      </c>
      <c r="BG97" s="238">
        <f t="shared" si="81"/>
        <v>3.4529147982062782</v>
      </c>
      <c r="BH97" s="238">
        <f t="shared" si="82"/>
        <v>3.6589861751152077</v>
      </c>
      <c r="BI97" s="238">
        <f t="shared" si="83"/>
        <v>3.461187214611872</v>
      </c>
      <c r="BJ97" s="238">
        <f t="shared" si="84"/>
        <v>3.544186046511628</v>
      </c>
      <c r="BK97" s="238">
        <f t="shared" si="85"/>
        <v>3.4070796460176993</v>
      </c>
      <c r="BL97" s="238">
        <f t="shared" si="86"/>
        <v>3.271244635193133</v>
      </c>
      <c r="BM97" s="373">
        <v>27.11</v>
      </c>
      <c r="BN97" s="373">
        <v>19.42</v>
      </c>
      <c r="BO97" s="374">
        <f t="shared" si="66"/>
        <v>0.7163408336407231</v>
      </c>
      <c r="BP97" s="373">
        <v>16.64</v>
      </c>
      <c r="BQ97" s="242">
        <f t="shared" si="65"/>
        <v>0.6137956473625968</v>
      </c>
      <c r="BS97" s="234"/>
    </row>
    <row r="98" spans="1:71" ht="15">
      <c r="A98" s="194">
        <v>1684</v>
      </c>
      <c r="B98" s="244" t="s">
        <v>218</v>
      </c>
      <c r="C98" s="236">
        <v>1</v>
      </c>
      <c r="D98" s="237">
        <v>9.92</v>
      </c>
      <c r="E98" s="238">
        <v>9.46</v>
      </c>
      <c r="F98" s="238">
        <v>9.65</v>
      </c>
      <c r="G98" s="238">
        <v>9.59</v>
      </c>
      <c r="H98" s="238">
        <v>9.45</v>
      </c>
      <c r="I98" s="238">
        <v>8.8</v>
      </c>
      <c r="J98" s="238">
        <v>9.37</v>
      </c>
      <c r="K98" s="238">
        <v>9.5</v>
      </c>
      <c r="L98" s="238">
        <v>9.01</v>
      </c>
      <c r="M98" s="239">
        <v>9.14</v>
      </c>
      <c r="N98" s="237">
        <v>2.91</v>
      </c>
      <c r="O98" s="238">
        <v>2.73</v>
      </c>
      <c r="P98" s="238">
        <v>2.62</v>
      </c>
      <c r="Q98" s="238">
        <v>2.91</v>
      </c>
      <c r="R98" s="238">
        <v>2.78</v>
      </c>
      <c r="S98" s="238">
        <v>2.68</v>
      </c>
      <c r="T98" s="238">
        <v>2.92</v>
      </c>
      <c r="U98" s="238">
        <v>2.7</v>
      </c>
      <c r="V98" s="238">
        <v>2.52</v>
      </c>
      <c r="W98" s="239">
        <v>2.6</v>
      </c>
      <c r="X98" s="237">
        <f t="shared" si="67"/>
        <v>3.40893470790378</v>
      </c>
      <c r="Y98" s="238">
        <f t="shared" si="68"/>
        <v>3.4652014652014653</v>
      </c>
      <c r="Z98" s="238">
        <f t="shared" si="69"/>
        <v>3.683206106870229</v>
      </c>
      <c r="AA98" s="238">
        <f t="shared" si="70"/>
        <v>3.29553264604811</v>
      </c>
      <c r="AB98" s="238">
        <f t="shared" si="71"/>
        <v>3.3992805755395685</v>
      </c>
      <c r="AC98" s="238">
        <f t="shared" si="72"/>
        <v>3.283582089552239</v>
      </c>
      <c r="AD98" s="238">
        <f t="shared" si="73"/>
        <v>3.208904109589041</v>
      </c>
      <c r="AE98" s="238">
        <f t="shared" si="74"/>
        <v>3.518518518518518</v>
      </c>
      <c r="AF98" s="238">
        <f t="shared" si="75"/>
        <v>3.575396825396825</v>
      </c>
      <c r="AG98" s="239">
        <f t="shared" si="76"/>
        <v>3.5153846153846153</v>
      </c>
      <c r="AH98" s="244" t="s">
        <v>218</v>
      </c>
      <c r="AI98" s="237">
        <v>6.5</v>
      </c>
      <c r="AJ98" s="241">
        <v>6.56</v>
      </c>
      <c r="AK98" s="241">
        <v>6.83</v>
      </c>
      <c r="AL98" s="241">
        <v>7.13</v>
      </c>
      <c r="AM98" s="241">
        <v>7.08</v>
      </c>
      <c r="AN98" s="241">
        <v>7.24</v>
      </c>
      <c r="AO98" s="241">
        <v>7.23</v>
      </c>
      <c r="AP98" s="241">
        <v>6.66</v>
      </c>
      <c r="AQ98" s="238">
        <v>7.05</v>
      </c>
      <c r="AR98" s="239">
        <v>7.15</v>
      </c>
      <c r="AS98" s="237">
        <v>2.2</v>
      </c>
      <c r="AT98" s="241">
        <v>2.19</v>
      </c>
      <c r="AU98" s="241">
        <v>2.21</v>
      </c>
      <c r="AV98" s="241">
        <v>2.3</v>
      </c>
      <c r="AW98" s="241">
        <v>2.21</v>
      </c>
      <c r="AX98" s="241">
        <v>2.44</v>
      </c>
      <c r="AY98" s="241">
        <v>2.41</v>
      </c>
      <c r="AZ98" s="241">
        <v>2.35</v>
      </c>
      <c r="BA98" s="238">
        <v>2.21</v>
      </c>
      <c r="BB98" s="239">
        <v>2.31</v>
      </c>
      <c r="BC98" s="237">
        <f t="shared" si="77"/>
        <v>2.954545454545454</v>
      </c>
      <c r="BD98" s="238">
        <f t="shared" si="78"/>
        <v>2.9954337899543377</v>
      </c>
      <c r="BE98" s="238">
        <f t="shared" si="79"/>
        <v>3.090497737556561</v>
      </c>
      <c r="BF98" s="238">
        <f t="shared" si="80"/>
        <v>3.1</v>
      </c>
      <c r="BG98" s="238">
        <f t="shared" si="81"/>
        <v>3.2036199095022626</v>
      </c>
      <c r="BH98" s="238">
        <f t="shared" si="82"/>
        <v>2.9672131147540983</v>
      </c>
      <c r="BI98" s="238">
        <f t="shared" si="83"/>
        <v>3</v>
      </c>
      <c r="BJ98" s="238">
        <f t="shared" si="84"/>
        <v>2.8340425531914892</v>
      </c>
      <c r="BK98" s="238">
        <f t="shared" si="85"/>
        <v>3.190045248868778</v>
      </c>
      <c r="BL98" s="238">
        <f t="shared" si="86"/>
        <v>3.0952380952380953</v>
      </c>
      <c r="BM98" s="373">
        <v>23.2</v>
      </c>
      <c r="BN98" s="373">
        <v>16</v>
      </c>
      <c r="BO98" s="374">
        <f t="shared" si="66"/>
        <v>0.6896551724137931</v>
      </c>
      <c r="BP98" s="373">
        <v>9.13</v>
      </c>
      <c r="BQ98" s="242">
        <f t="shared" si="65"/>
        <v>0.39353448275862074</v>
      </c>
      <c r="BS98" s="234"/>
    </row>
    <row r="99" spans="1:71" ht="15">
      <c r="A99" s="194">
        <v>1685</v>
      </c>
      <c r="B99" s="244" t="s">
        <v>219</v>
      </c>
      <c r="C99" s="236">
        <v>3</v>
      </c>
      <c r="D99" s="237">
        <v>10.04</v>
      </c>
      <c r="E99" s="238">
        <v>9.09</v>
      </c>
      <c r="F99" s="238">
        <v>10.5</v>
      </c>
      <c r="G99" s="238">
        <v>9.22</v>
      </c>
      <c r="H99" s="238">
        <v>10.03</v>
      </c>
      <c r="I99" s="238">
        <v>9.59</v>
      </c>
      <c r="J99" s="238">
        <v>10.4</v>
      </c>
      <c r="K99" s="238">
        <v>10.07</v>
      </c>
      <c r="L99" s="238">
        <v>9.16</v>
      </c>
      <c r="M99" s="239">
        <v>9.76</v>
      </c>
      <c r="N99" s="237">
        <v>2.61</v>
      </c>
      <c r="O99" s="238">
        <v>2.79</v>
      </c>
      <c r="P99" s="238">
        <v>2.48</v>
      </c>
      <c r="Q99" s="238">
        <v>2.66</v>
      </c>
      <c r="R99" s="238">
        <v>2.33</v>
      </c>
      <c r="S99" s="238">
        <v>2.82</v>
      </c>
      <c r="T99" s="238">
        <v>2.64</v>
      </c>
      <c r="U99" s="238">
        <v>2.61</v>
      </c>
      <c r="V99" s="238">
        <v>2.53</v>
      </c>
      <c r="W99" s="239">
        <v>2.56</v>
      </c>
      <c r="X99" s="237">
        <f aca="true" t="shared" si="87" ref="X99:X122">D99/N99</f>
        <v>3.846743295019157</v>
      </c>
      <c r="Y99" s="238">
        <f aca="true" t="shared" si="88" ref="Y99:Y122">E99/O99</f>
        <v>3.258064516129032</v>
      </c>
      <c r="Z99" s="238">
        <f aca="true" t="shared" si="89" ref="Z99:Z122">F99/P99</f>
        <v>4.233870967741936</v>
      </c>
      <c r="AA99" s="238">
        <f aca="true" t="shared" si="90" ref="AA99:AA122">G99/Q99</f>
        <v>3.4661654135338344</v>
      </c>
      <c r="AB99" s="238">
        <f aca="true" t="shared" si="91" ref="AB99:AB122">H99/R99</f>
        <v>4.304721030042918</v>
      </c>
      <c r="AC99" s="238">
        <f aca="true" t="shared" si="92" ref="AC99:AC122">I99/S99</f>
        <v>3.400709219858156</v>
      </c>
      <c r="AD99" s="238">
        <f aca="true" t="shared" si="93" ref="AD99:AD122">J99/T99</f>
        <v>3.9393939393939394</v>
      </c>
      <c r="AE99" s="238">
        <f aca="true" t="shared" si="94" ref="AE99:AE122">K99/U99</f>
        <v>3.8582375478927204</v>
      </c>
      <c r="AF99" s="238">
        <f aca="true" t="shared" si="95" ref="AF99:AF122">L99/V99</f>
        <v>3.620553359683795</v>
      </c>
      <c r="AG99" s="239">
        <f t="shared" si="76"/>
        <v>3.8125</v>
      </c>
      <c r="AH99" s="244" t="s">
        <v>219</v>
      </c>
      <c r="AI99" s="237">
        <v>6.58</v>
      </c>
      <c r="AJ99" s="241">
        <v>6.09</v>
      </c>
      <c r="AK99" s="241">
        <v>7.51</v>
      </c>
      <c r="AL99" s="241">
        <v>7.57</v>
      </c>
      <c r="AM99" s="241">
        <v>7.6</v>
      </c>
      <c r="AN99" s="241">
        <v>5.91</v>
      </c>
      <c r="AO99" s="241">
        <v>7.9</v>
      </c>
      <c r="AP99" s="241">
        <v>6.76</v>
      </c>
      <c r="AQ99" s="238">
        <v>7.02</v>
      </c>
      <c r="AR99" s="239">
        <v>6.82</v>
      </c>
      <c r="AS99" s="237">
        <v>2.33</v>
      </c>
      <c r="AT99" s="241">
        <v>2.23</v>
      </c>
      <c r="AU99" s="241">
        <v>2.01</v>
      </c>
      <c r="AV99" s="241">
        <v>2</v>
      </c>
      <c r="AW99" s="241">
        <v>2.04</v>
      </c>
      <c r="AX99" s="241">
        <v>2.18</v>
      </c>
      <c r="AY99" s="241">
        <v>2.04</v>
      </c>
      <c r="AZ99" s="241">
        <v>2.22</v>
      </c>
      <c r="BA99" s="238">
        <v>2.41</v>
      </c>
      <c r="BB99" s="239">
        <v>2.25</v>
      </c>
      <c r="BC99" s="237">
        <f t="shared" si="77"/>
        <v>2.8240343347639483</v>
      </c>
      <c r="BD99" s="238">
        <f t="shared" si="78"/>
        <v>2.7309417040358746</v>
      </c>
      <c r="BE99" s="238">
        <f t="shared" si="79"/>
        <v>3.736318407960199</v>
      </c>
      <c r="BF99" s="238">
        <f t="shared" si="80"/>
        <v>3.785</v>
      </c>
      <c r="BG99" s="238">
        <f t="shared" si="81"/>
        <v>3.725490196078431</v>
      </c>
      <c r="BH99" s="238">
        <f t="shared" si="82"/>
        <v>2.7110091743119265</v>
      </c>
      <c r="BI99" s="238">
        <f t="shared" si="83"/>
        <v>3.872549019607843</v>
      </c>
      <c r="BJ99" s="238">
        <f t="shared" si="84"/>
        <v>3.0450450450450446</v>
      </c>
      <c r="BK99" s="238">
        <f t="shared" si="85"/>
        <v>2.912863070539419</v>
      </c>
      <c r="BL99" s="238">
        <f t="shared" si="86"/>
        <v>3.031111111111111</v>
      </c>
      <c r="BM99" s="373">
        <v>22.68</v>
      </c>
      <c r="BN99" s="373">
        <v>15.99</v>
      </c>
      <c r="BO99" s="374">
        <f t="shared" si="66"/>
        <v>0.705026455026455</v>
      </c>
      <c r="BP99" s="373">
        <v>12.22</v>
      </c>
      <c r="BQ99" s="242">
        <f t="shared" si="65"/>
        <v>0.5388007054673721</v>
      </c>
      <c r="BS99" s="234"/>
    </row>
    <row r="100" spans="1:71" ht="15">
      <c r="A100" s="194">
        <v>1686</v>
      </c>
      <c r="B100" s="244" t="s">
        <v>220</v>
      </c>
      <c r="C100" s="236">
        <v>3</v>
      </c>
      <c r="D100" s="237">
        <v>8.99</v>
      </c>
      <c r="E100" s="238">
        <v>9.45</v>
      </c>
      <c r="F100" s="238">
        <v>9.73</v>
      </c>
      <c r="G100" s="238">
        <v>9.67</v>
      </c>
      <c r="H100" s="238">
        <v>9.64</v>
      </c>
      <c r="I100" s="238">
        <v>9.27</v>
      </c>
      <c r="J100" s="238">
        <v>9.58</v>
      </c>
      <c r="K100" s="238">
        <v>9.43</v>
      </c>
      <c r="L100" s="238">
        <v>9.5</v>
      </c>
      <c r="M100" s="239">
        <v>8.69</v>
      </c>
      <c r="N100" s="237">
        <v>3.23</v>
      </c>
      <c r="O100" s="238">
        <v>3.32</v>
      </c>
      <c r="P100" s="238">
        <v>3.47</v>
      </c>
      <c r="Q100" s="238">
        <v>3.4</v>
      </c>
      <c r="R100" s="238">
        <v>3.38</v>
      </c>
      <c r="S100" s="238">
        <v>3.31</v>
      </c>
      <c r="T100" s="238">
        <v>3.4</v>
      </c>
      <c r="U100" s="238">
        <v>3.3</v>
      </c>
      <c r="V100" s="238">
        <v>3.44</v>
      </c>
      <c r="W100" s="239">
        <v>3.34</v>
      </c>
      <c r="X100" s="237">
        <f t="shared" si="87"/>
        <v>2.78328173374613</v>
      </c>
      <c r="Y100" s="238">
        <f t="shared" si="88"/>
        <v>2.8463855421686746</v>
      </c>
      <c r="Z100" s="238">
        <f t="shared" si="89"/>
        <v>2.804034582132565</v>
      </c>
      <c r="AA100" s="238">
        <f t="shared" si="90"/>
        <v>2.8441176470588236</v>
      </c>
      <c r="AB100" s="238">
        <f t="shared" si="91"/>
        <v>2.85207100591716</v>
      </c>
      <c r="AC100" s="238">
        <f t="shared" si="92"/>
        <v>2.8006042296072504</v>
      </c>
      <c r="AD100" s="238">
        <f t="shared" si="93"/>
        <v>2.8176470588235296</v>
      </c>
      <c r="AE100" s="238">
        <f t="shared" si="94"/>
        <v>2.8575757575757574</v>
      </c>
      <c r="AF100" s="238">
        <f t="shared" si="95"/>
        <v>2.761627906976744</v>
      </c>
      <c r="AG100" s="239">
        <f t="shared" si="76"/>
        <v>2.6017964071856285</v>
      </c>
      <c r="AH100" s="244" t="s">
        <v>220</v>
      </c>
      <c r="AI100" s="237">
        <v>6.49</v>
      </c>
      <c r="AJ100" s="241">
        <v>6.8</v>
      </c>
      <c r="AK100" s="241">
        <v>8.13</v>
      </c>
      <c r="AL100" s="241">
        <v>6.26</v>
      </c>
      <c r="AM100" s="241">
        <v>7.23</v>
      </c>
      <c r="AN100" s="241">
        <v>6.82</v>
      </c>
      <c r="AO100" s="241">
        <v>6.69</v>
      </c>
      <c r="AP100" s="241">
        <v>6.59</v>
      </c>
      <c r="AQ100" s="238">
        <v>7.16</v>
      </c>
      <c r="AR100" s="239">
        <v>6.78</v>
      </c>
      <c r="AS100" s="237">
        <v>2.96</v>
      </c>
      <c r="AT100" s="241">
        <v>2.91</v>
      </c>
      <c r="AU100" s="241">
        <v>2.63</v>
      </c>
      <c r="AV100" s="241">
        <v>2.9</v>
      </c>
      <c r="AW100" s="241">
        <v>2.95</v>
      </c>
      <c r="AX100" s="241">
        <v>2.9</v>
      </c>
      <c r="AY100" s="241">
        <v>3.04</v>
      </c>
      <c r="AZ100" s="241">
        <v>2.8</v>
      </c>
      <c r="BA100" s="238">
        <v>2.96</v>
      </c>
      <c r="BB100" s="239">
        <v>2.81</v>
      </c>
      <c r="BC100" s="237">
        <f t="shared" si="77"/>
        <v>2.1925675675675675</v>
      </c>
      <c r="BD100" s="238">
        <f t="shared" si="78"/>
        <v>2.3367697594501715</v>
      </c>
      <c r="BE100" s="238">
        <f t="shared" si="79"/>
        <v>3.0912547528517114</v>
      </c>
      <c r="BF100" s="238">
        <f t="shared" si="80"/>
        <v>2.1586206896551725</v>
      </c>
      <c r="BG100" s="238">
        <f t="shared" si="81"/>
        <v>2.4508474576271184</v>
      </c>
      <c r="BH100" s="238">
        <f t="shared" si="82"/>
        <v>2.3517241379310345</v>
      </c>
      <c r="BI100" s="238">
        <f t="shared" si="83"/>
        <v>2.200657894736842</v>
      </c>
      <c r="BJ100" s="238">
        <f t="shared" si="84"/>
        <v>2.3535714285714286</v>
      </c>
      <c r="BK100" s="238">
        <f t="shared" si="85"/>
        <v>2.418918918918919</v>
      </c>
      <c r="BL100" s="238">
        <f t="shared" si="86"/>
        <v>2.412811387900356</v>
      </c>
      <c r="BM100" s="373">
        <v>33.63</v>
      </c>
      <c r="BN100" s="373">
        <v>22.63</v>
      </c>
      <c r="BO100" s="374">
        <f t="shared" si="66"/>
        <v>0.6729110912875408</v>
      </c>
      <c r="BP100" s="373">
        <v>21.6</v>
      </c>
      <c r="BQ100" s="242">
        <f t="shared" si="65"/>
        <v>0.6422836752899197</v>
      </c>
      <c r="BS100" s="234"/>
    </row>
    <row r="101" spans="1:71" ht="15">
      <c r="A101" s="194">
        <v>1687</v>
      </c>
      <c r="B101" s="244" t="s">
        <v>221</v>
      </c>
      <c r="C101" s="236">
        <v>3</v>
      </c>
      <c r="D101" s="237">
        <v>7.57</v>
      </c>
      <c r="E101" s="238">
        <v>8.08</v>
      </c>
      <c r="F101" s="238">
        <v>7.85</v>
      </c>
      <c r="G101" s="238">
        <v>7.88</v>
      </c>
      <c r="H101" s="238">
        <v>8.03</v>
      </c>
      <c r="I101" s="238">
        <v>7.71</v>
      </c>
      <c r="J101" s="238">
        <v>8.38</v>
      </c>
      <c r="K101" s="238">
        <v>8.07</v>
      </c>
      <c r="L101" s="238">
        <v>7.85</v>
      </c>
      <c r="M101" s="239">
        <v>8.17</v>
      </c>
      <c r="N101" s="237">
        <v>3.21</v>
      </c>
      <c r="O101" s="238">
        <v>3.27</v>
      </c>
      <c r="P101" s="238">
        <v>3.32</v>
      </c>
      <c r="Q101" s="238">
        <v>3.28</v>
      </c>
      <c r="R101" s="238">
        <v>3.31</v>
      </c>
      <c r="S101" s="238">
        <v>3.27</v>
      </c>
      <c r="T101" s="238">
        <v>3.35</v>
      </c>
      <c r="U101" s="238">
        <v>3.39</v>
      </c>
      <c r="V101" s="238">
        <v>3.17</v>
      </c>
      <c r="W101" s="239">
        <v>3.33</v>
      </c>
      <c r="X101" s="237">
        <f t="shared" si="87"/>
        <v>2.358255451713396</v>
      </c>
      <c r="Y101" s="238">
        <f t="shared" si="88"/>
        <v>2.470948012232416</v>
      </c>
      <c r="Z101" s="238">
        <f t="shared" si="89"/>
        <v>2.3644578313253013</v>
      </c>
      <c r="AA101" s="238">
        <f t="shared" si="90"/>
        <v>2.402439024390244</v>
      </c>
      <c r="AB101" s="238">
        <f t="shared" si="91"/>
        <v>2.425981873111782</v>
      </c>
      <c r="AC101" s="238">
        <f t="shared" si="92"/>
        <v>2.3577981651376145</v>
      </c>
      <c r="AD101" s="238">
        <f t="shared" si="93"/>
        <v>2.501492537313433</v>
      </c>
      <c r="AE101" s="238">
        <f t="shared" si="94"/>
        <v>2.3805309734513274</v>
      </c>
      <c r="AF101" s="238">
        <f t="shared" si="95"/>
        <v>2.4763406940063093</v>
      </c>
      <c r="AG101" s="239">
        <f aca="true" t="shared" si="96" ref="AG101:AG122">M101/W101</f>
        <v>2.4534534534534536</v>
      </c>
      <c r="AH101" s="244" t="s">
        <v>221</v>
      </c>
      <c r="AI101" s="237">
        <v>5.46</v>
      </c>
      <c r="AJ101" s="241">
        <v>5.85</v>
      </c>
      <c r="AK101" s="241">
        <v>5.74</v>
      </c>
      <c r="AL101" s="241">
        <v>5.59</v>
      </c>
      <c r="AM101" s="241">
        <v>5.65</v>
      </c>
      <c r="AN101" s="241">
        <v>5.33</v>
      </c>
      <c r="AO101" s="241">
        <v>5.67</v>
      </c>
      <c r="AP101" s="241">
        <v>5.61</v>
      </c>
      <c r="AQ101" s="238">
        <v>5.46</v>
      </c>
      <c r="AR101" s="239">
        <v>5.44</v>
      </c>
      <c r="AS101" s="237">
        <v>2.96</v>
      </c>
      <c r="AT101" s="241">
        <v>3.04</v>
      </c>
      <c r="AU101" s="241">
        <v>2.97</v>
      </c>
      <c r="AV101" s="241">
        <v>3.01</v>
      </c>
      <c r="AW101" s="241">
        <v>2.91</v>
      </c>
      <c r="AX101" s="241">
        <v>2.88</v>
      </c>
      <c r="AY101" s="241">
        <v>2.78</v>
      </c>
      <c r="AZ101" s="241">
        <v>2.88</v>
      </c>
      <c r="BA101" s="238">
        <v>2.8</v>
      </c>
      <c r="BB101" s="239">
        <v>2.89</v>
      </c>
      <c r="BC101" s="237">
        <f t="shared" si="77"/>
        <v>1.8445945945945945</v>
      </c>
      <c r="BD101" s="238">
        <f t="shared" si="78"/>
        <v>1.9243421052631577</v>
      </c>
      <c r="BE101" s="238">
        <f t="shared" si="79"/>
        <v>1.9326599326599325</v>
      </c>
      <c r="BF101" s="238">
        <f t="shared" si="80"/>
        <v>1.8571428571428572</v>
      </c>
      <c r="BG101" s="238">
        <f t="shared" si="81"/>
        <v>1.9415807560137457</v>
      </c>
      <c r="BH101" s="238">
        <f t="shared" si="82"/>
        <v>1.8506944444444446</v>
      </c>
      <c r="BI101" s="238">
        <f t="shared" si="83"/>
        <v>2.039568345323741</v>
      </c>
      <c r="BJ101" s="238">
        <f t="shared" si="84"/>
        <v>1.9479166666666667</v>
      </c>
      <c r="BK101" s="238">
        <f t="shared" si="85"/>
        <v>1.9500000000000002</v>
      </c>
      <c r="BL101" s="238">
        <f t="shared" si="86"/>
        <v>1.8823529411764706</v>
      </c>
      <c r="BM101" s="373">
        <v>27.61</v>
      </c>
      <c r="BN101" s="373">
        <v>19.51</v>
      </c>
      <c r="BO101" s="374">
        <f t="shared" si="66"/>
        <v>0.7066280333212605</v>
      </c>
      <c r="BP101" s="373">
        <v>18.86</v>
      </c>
      <c r="BQ101" s="242">
        <f t="shared" si="65"/>
        <v>0.6830858384643245</v>
      </c>
      <c r="BS101" s="234"/>
    </row>
    <row r="102" spans="1:71" ht="15">
      <c r="A102" s="194">
        <v>1688</v>
      </c>
      <c r="B102" s="244" t="s">
        <v>222</v>
      </c>
      <c r="C102" s="236">
        <v>3</v>
      </c>
      <c r="D102" s="237">
        <v>7.3</v>
      </c>
      <c r="E102" s="238">
        <v>7.51</v>
      </c>
      <c r="F102" s="238">
        <v>7.56</v>
      </c>
      <c r="G102" s="238">
        <v>7.32</v>
      </c>
      <c r="H102" s="238">
        <v>8.01</v>
      </c>
      <c r="I102" s="238">
        <v>8.48</v>
      </c>
      <c r="J102" s="238">
        <v>7.32</v>
      </c>
      <c r="K102" s="238">
        <v>7.4</v>
      </c>
      <c r="L102" s="238">
        <v>8.08</v>
      </c>
      <c r="M102" s="239">
        <v>7.6</v>
      </c>
      <c r="N102" s="237">
        <v>3.09</v>
      </c>
      <c r="O102" s="238">
        <v>3.27</v>
      </c>
      <c r="P102" s="238">
        <v>3.17</v>
      </c>
      <c r="Q102" s="238">
        <v>3.18</v>
      </c>
      <c r="R102" s="238">
        <v>3.3</v>
      </c>
      <c r="S102" s="238">
        <v>3.22</v>
      </c>
      <c r="T102" s="238">
        <v>3.15</v>
      </c>
      <c r="U102" s="238">
        <v>3.26</v>
      </c>
      <c r="V102" s="238">
        <v>3.31</v>
      </c>
      <c r="W102" s="239">
        <v>3.28</v>
      </c>
      <c r="X102" s="237">
        <f t="shared" si="87"/>
        <v>2.3624595469255665</v>
      </c>
      <c r="Y102" s="238">
        <f t="shared" si="88"/>
        <v>2.2966360856269112</v>
      </c>
      <c r="Z102" s="238">
        <f t="shared" si="89"/>
        <v>2.3848580441640377</v>
      </c>
      <c r="AA102" s="238">
        <f t="shared" si="90"/>
        <v>2.30188679245283</v>
      </c>
      <c r="AB102" s="238">
        <f t="shared" si="91"/>
        <v>2.4272727272727272</v>
      </c>
      <c r="AC102" s="238">
        <f t="shared" si="92"/>
        <v>2.6335403726708075</v>
      </c>
      <c r="AD102" s="238">
        <f t="shared" si="93"/>
        <v>2.323809523809524</v>
      </c>
      <c r="AE102" s="238">
        <f t="shared" si="94"/>
        <v>2.2699386503067487</v>
      </c>
      <c r="AF102" s="238">
        <f t="shared" si="95"/>
        <v>2.4410876132930515</v>
      </c>
      <c r="AG102" s="239">
        <f t="shared" si="96"/>
        <v>2.317073170731707</v>
      </c>
      <c r="AH102" s="244" t="s">
        <v>222</v>
      </c>
      <c r="AI102" s="237">
        <v>5.34</v>
      </c>
      <c r="AJ102" s="241">
        <v>5.16</v>
      </c>
      <c r="AK102" s="241">
        <v>5.45</v>
      </c>
      <c r="AL102" s="241">
        <v>4.98</v>
      </c>
      <c r="AM102" s="241">
        <v>5.17</v>
      </c>
      <c r="AN102" s="241">
        <v>5.53</v>
      </c>
      <c r="AO102" s="241">
        <v>5.72</v>
      </c>
      <c r="AP102" s="241">
        <v>5.17</v>
      </c>
      <c r="AQ102" s="238">
        <v>5.16</v>
      </c>
      <c r="AR102" s="239">
        <v>5.13</v>
      </c>
      <c r="AS102" s="237">
        <v>2.87</v>
      </c>
      <c r="AT102" s="241">
        <v>2.98</v>
      </c>
      <c r="AU102" s="241">
        <v>2.87</v>
      </c>
      <c r="AV102" s="241">
        <v>2.85</v>
      </c>
      <c r="AW102" s="241">
        <v>2.75</v>
      </c>
      <c r="AX102" s="241">
        <v>2.94</v>
      </c>
      <c r="AY102" s="241">
        <v>2.88</v>
      </c>
      <c r="AZ102" s="241">
        <v>2.89</v>
      </c>
      <c r="BA102" s="238">
        <v>2.87</v>
      </c>
      <c r="BB102" s="239">
        <v>2.85</v>
      </c>
      <c r="BC102" s="237">
        <f t="shared" si="77"/>
        <v>1.8606271777003482</v>
      </c>
      <c r="BD102" s="238">
        <f t="shared" si="78"/>
        <v>1.731543624161074</v>
      </c>
      <c r="BE102" s="238">
        <f t="shared" si="79"/>
        <v>1.8989547038327526</v>
      </c>
      <c r="BF102" s="238">
        <f t="shared" si="80"/>
        <v>1.7473684210526317</v>
      </c>
      <c r="BG102" s="238">
        <f t="shared" si="81"/>
        <v>1.88</v>
      </c>
      <c r="BH102" s="238">
        <f t="shared" si="82"/>
        <v>1.8809523809523812</v>
      </c>
      <c r="BI102" s="238">
        <f t="shared" si="83"/>
        <v>1.9861111111111112</v>
      </c>
      <c r="BJ102" s="238">
        <f t="shared" si="84"/>
        <v>1.7889273356401383</v>
      </c>
      <c r="BK102" s="238">
        <f t="shared" si="85"/>
        <v>1.797909407665505</v>
      </c>
      <c r="BL102" s="238">
        <f t="shared" si="86"/>
        <v>1.7999999999999998</v>
      </c>
      <c r="BM102" s="373">
        <v>24.43</v>
      </c>
      <c r="BN102" s="373">
        <v>17.5</v>
      </c>
      <c r="BO102" s="374">
        <f t="shared" si="66"/>
        <v>0.7163323782234957</v>
      </c>
      <c r="BP102" s="373">
        <v>17.09</v>
      </c>
      <c r="BQ102" s="242">
        <f t="shared" si="65"/>
        <v>0.6995497339336881</v>
      </c>
      <c r="BS102" s="234"/>
    </row>
    <row r="103" spans="1:71" ht="15">
      <c r="A103" s="197">
        <v>1689</v>
      </c>
      <c r="B103" s="243" t="s">
        <v>223</v>
      </c>
      <c r="C103" s="236">
        <v>3</v>
      </c>
      <c r="D103" s="237">
        <v>7.4</v>
      </c>
      <c r="E103" s="238">
        <v>7.62</v>
      </c>
      <c r="F103" s="238">
        <v>7.1</v>
      </c>
      <c r="G103" s="238">
        <v>7.26</v>
      </c>
      <c r="H103" s="238">
        <v>7.03</v>
      </c>
      <c r="I103" s="238">
        <v>7</v>
      </c>
      <c r="J103" s="238">
        <v>7.31</v>
      </c>
      <c r="K103" s="238">
        <v>7.29</v>
      </c>
      <c r="L103" s="238">
        <v>7.41</v>
      </c>
      <c r="M103" s="239">
        <v>7.62</v>
      </c>
      <c r="N103" s="237">
        <v>3.77</v>
      </c>
      <c r="O103" s="238">
        <v>3.83</v>
      </c>
      <c r="P103" s="238">
        <v>3.75</v>
      </c>
      <c r="Q103" s="238">
        <v>3.94</v>
      </c>
      <c r="R103" s="238">
        <v>3.74</v>
      </c>
      <c r="S103" s="238">
        <v>3.63</v>
      </c>
      <c r="T103" s="238">
        <v>3.85</v>
      </c>
      <c r="U103" s="238">
        <v>3.58</v>
      </c>
      <c r="V103" s="238">
        <v>3.86</v>
      </c>
      <c r="W103" s="239">
        <v>3.68</v>
      </c>
      <c r="X103" s="237">
        <f t="shared" si="87"/>
        <v>1.9628647214854111</v>
      </c>
      <c r="Y103" s="238">
        <f t="shared" si="88"/>
        <v>1.989556135770235</v>
      </c>
      <c r="Z103" s="238">
        <f t="shared" si="89"/>
        <v>1.8933333333333333</v>
      </c>
      <c r="AA103" s="238">
        <f t="shared" si="90"/>
        <v>1.8426395939086293</v>
      </c>
      <c r="AB103" s="238">
        <f t="shared" si="91"/>
        <v>1.8796791443850267</v>
      </c>
      <c r="AC103" s="238">
        <f t="shared" si="92"/>
        <v>1.928374655647383</v>
      </c>
      <c r="AD103" s="238">
        <f t="shared" si="93"/>
        <v>1.8987012987012986</v>
      </c>
      <c r="AE103" s="238">
        <f t="shared" si="94"/>
        <v>2.036312849162011</v>
      </c>
      <c r="AF103" s="238">
        <f t="shared" si="95"/>
        <v>1.9196891191709846</v>
      </c>
      <c r="AG103" s="239">
        <f t="shared" si="96"/>
        <v>2.0706521739130435</v>
      </c>
      <c r="AH103" s="243" t="s">
        <v>223</v>
      </c>
      <c r="AI103" s="237">
        <v>4.96</v>
      </c>
      <c r="AJ103" s="241">
        <v>4.94</v>
      </c>
      <c r="AK103" s="241">
        <v>4.97</v>
      </c>
      <c r="AL103" s="241">
        <v>5.1</v>
      </c>
      <c r="AM103" s="241">
        <v>5.07</v>
      </c>
      <c r="AN103" s="241">
        <v>5.09</v>
      </c>
      <c r="AO103" s="241">
        <v>5.19</v>
      </c>
      <c r="AP103" s="241">
        <v>5.02</v>
      </c>
      <c r="AQ103" s="238">
        <v>4.98</v>
      </c>
      <c r="AR103" s="239">
        <v>5.05</v>
      </c>
      <c r="AS103" s="237">
        <v>3.22</v>
      </c>
      <c r="AT103" s="241">
        <v>3.26</v>
      </c>
      <c r="AU103" s="241">
        <v>3.26</v>
      </c>
      <c r="AV103" s="241">
        <v>3.08</v>
      </c>
      <c r="AW103" s="241">
        <v>3.33</v>
      </c>
      <c r="AX103" s="241">
        <v>3.225</v>
      </c>
      <c r="AY103" s="241">
        <v>3.35</v>
      </c>
      <c r="AZ103" s="241">
        <v>3.3</v>
      </c>
      <c r="BA103" s="238">
        <v>3.28</v>
      </c>
      <c r="BB103" s="239">
        <v>3.16</v>
      </c>
      <c r="BC103" s="237">
        <f t="shared" si="77"/>
        <v>1.5403726708074532</v>
      </c>
      <c r="BD103" s="238">
        <f t="shared" si="78"/>
        <v>1.5153374233128836</v>
      </c>
      <c r="BE103" s="238">
        <f t="shared" si="79"/>
        <v>1.5245398773006136</v>
      </c>
      <c r="BF103" s="238">
        <f t="shared" si="80"/>
        <v>1.6558441558441557</v>
      </c>
      <c r="BG103" s="238">
        <f t="shared" si="81"/>
        <v>1.5225225225225225</v>
      </c>
      <c r="BH103" s="238">
        <f t="shared" si="82"/>
        <v>1.5782945736434109</v>
      </c>
      <c r="BI103" s="238">
        <f t="shared" si="83"/>
        <v>1.5492537313432837</v>
      </c>
      <c r="BJ103" s="238">
        <f t="shared" si="84"/>
        <v>1.5212121212121212</v>
      </c>
      <c r="BK103" s="238">
        <f t="shared" si="85"/>
        <v>1.5182926829268295</v>
      </c>
      <c r="BL103" s="238">
        <f t="shared" si="86"/>
        <v>1.5981012658227847</v>
      </c>
      <c r="BM103" s="373">
        <v>28.08</v>
      </c>
      <c r="BN103" s="373">
        <v>19.05</v>
      </c>
      <c r="BO103" s="374">
        <f t="shared" si="66"/>
        <v>0.6784188034188035</v>
      </c>
      <c r="BP103" s="373">
        <v>18</v>
      </c>
      <c r="BQ103" s="242">
        <f t="shared" si="65"/>
        <v>0.6410256410256411</v>
      </c>
      <c r="BS103" s="234"/>
    </row>
    <row r="104" spans="1:71" ht="15">
      <c r="A104" s="197">
        <v>1690</v>
      </c>
      <c r="B104" s="243" t="s">
        <v>224</v>
      </c>
      <c r="C104" s="236">
        <v>1</v>
      </c>
      <c r="D104" s="237">
        <v>8.69</v>
      </c>
      <c r="E104" s="238">
        <v>8.64</v>
      </c>
      <c r="F104" s="238">
        <v>9.05</v>
      </c>
      <c r="G104" s="238">
        <v>8.8</v>
      </c>
      <c r="H104" s="238">
        <v>9.49</v>
      </c>
      <c r="I104" s="238">
        <v>8.42</v>
      </c>
      <c r="J104" s="238">
        <v>9.07</v>
      </c>
      <c r="K104" s="238">
        <v>9.03</v>
      </c>
      <c r="L104" s="238">
        <v>8.87</v>
      </c>
      <c r="M104" s="239">
        <v>8.62</v>
      </c>
      <c r="N104" s="237">
        <v>3.24</v>
      </c>
      <c r="O104" s="238">
        <v>2.93</v>
      </c>
      <c r="P104" s="238">
        <v>2.97</v>
      </c>
      <c r="Q104" s="238">
        <v>3.21</v>
      </c>
      <c r="R104" s="238">
        <v>3.21</v>
      </c>
      <c r="S104" s="238">
        <v>3.06</v>
      </c>
      <c r="T104" s="238">
        <v>3.26</v>
      </c>
      <c r="U104" s="238">
        <v>3.5</v>
      </c>
      <c r="V104" s="238">
        <v>3.21</v>
      </c>
      <c r="W104" s="239">
        <v>3.22</v>
      </c>
      <c r="X104" s="237">
        <f t="shared" si="87"/>
        <v>2.6820987654320985</v>
      </c>
      <c r="Y104" s="238">
        <f t="shared" si="88"/>
        <v>2.948805460750853</v>
      </c>
      <c r="Z104" s="238">
        <f t="shared" si="89"/>
        <v>3.047138047138047</v>
      </c>
      <c r="AA104" s="238">
        <f t="shared" si="90"/>
        <v>2.741433021806854</v>
      </c>
      <c r="AB104" s="238">
        <f t="shared" si="91"/>
        <v>2.956386292834891</v>
      </c>
      <c r="AC104" s="238">
        <f t="shared" si="92"/>
        <v>2.7516339869281046</v>
      </c>
      <c r="AD104" s="238">
        <f t="shared" si="93"/>
        <v>2.7822085889570554</v>
      </c>
      <c r="AE104" s="238">
        <f t="shared" si="94"/>
        <v>2.5799999999999996</v>
      </c>
      <c r="AF104" s="238">
        <f t="shared" si="95"/>
        <v>2.763239875389408</v>
      </c>
      <c r="AG104" s="239">
        <f t="shared" si="96"/>
        <v>2.677018633540372</v>
      </c>
      <c r="AH104" s="243" t="s">
        <v>224</v>
      </c>
      <c r="AI104" s="237">
        <v>6.35</v>
      </c>
      <c r="AJ104" s="241">
        <v>6.6</v>
      </c>
      <c r="AK104" s="241">
        <v>6.39</v>
      </c>
      <c r="AL104" s="241">
        <v>6.45</v>
      </c>
      <c r="AM104" s="241">
        <v>6.36</v>
      </c>
      <c r="AN104" s="241">
        <v>6.42</v>
      </c>
      <c r="AO104" s="241">
        <v>6.38</v>
      </c>
      <c r="AP104" s="241">
        <v>6.42</v>
      </c>
      <c r="AQ104" s="238">
        <v>6.4</v>
      </c>
      <c r="AR104" s="239">
        <v>6.75</v>
      </c>
      <c r="AS104" s="237">
        <v>2.74</v>
      </c>
      <c r="AT104" s="241">
        <v>2.74</v>
      </c>
      <c r="AU104" s="241">
        <v>2.74</v>
      </c>
      <c r="AV104" s="241">
        <v>2.71</v>
      </c>
      <c r="AW104" s="241">
        <v>2.84</v>
      </c>
      <c r="AX104" s="241">
        <v>2.65</v>
      </c>
      <c r="AY104" s="241">
        <v>2.89</v>
      </c>
      <c r="AZ104" s="241">
        <v>2.8</v>
      </c>
      <c r="BA104" s="238">
        <v>2.8</v>
      </c>
      <c r="BB104" s="239">
        <v>2.78</v>
      </c>
      <c r="BC104" s="237">
        <f t="shared" si="77"/>
        <v>2.3175182481751824</v>
      </c>
      <c r="BD104" s="238">
        <f t="shared" si="78"/>
        <v>2.4087591240875907</v>
      </c>
      <c r="BE104" s="238">
        <f t="shared" si="79"/>
        <v>2.3321167883211675</v>
      </c>
      <c r="BF104" s="238">
        <f t="shared" si="80"/>
        <v>2.3800738007380073</v>
      </c>
      <c r="BG104" s="238">
        <f t="shared" si="81"/>
        <v>2.23943661971831</v>
      </c>
      <c r="BH104" s="238">
        <f t="shared" si="82"/>
        <v>2.422641509433962</v>
      </c>
      <c r="BI104" s="238">
        <f t="shared" si="83"/>
        <v>2.207612456747405</v>
      </c>
      <c r="BJ104" s="238">
        <f t="shared" si="84"/>
        <v>2.292857142857143</v>
      </c>
      <c r="BK104" s="238">
        <f t="shared" si="85"/>
        <v>2.285714285714286</v>
      </c>
      <c r="BL104" s="238">
        <f t="shared" si="86"/>
        <v>2.4280575539568345</v>
      </c>
      <c r="BM104" s="373">
        <v>29.92</v>
      </c>
      <c r="BN104" s="373">
        <v>20.99</v>
      </c>
      <c r="BO104" s="374">
        <f t="shared" si="66"/>
        <v>0.7015374331550801</v>
      </c>
      <c r="BP104" s="373">
        <v>19.16</v>
      </c>
      <c r="BQ104" s="242">
        <f t="shared" si="65"/>
        <v>0.6403743315508021</v>
      </c>
      <c r="BS104" s="234"/>
    </row>
    <row r="105" spans="1:71" ht="15">
      <c r="A105" s="198">
        <v>1691</v>
      </c>
      <c r="B105" s="243" t="s">
        <v>225</v>
      </c>
      <c r="C105" s="236">
        <v>3</v>
      </c>
      <c r="D105" s="237">
        <v>9.57</v>
      </c>
      <c r="E105" s="238">
        <v>8.96</v>
      </c>
      <c r="F105" s="238">
        <v>8.81</v>
      </c>
      <c r="G105" s="238">
        <v>9.15</v>
      </c>
      <c r="H105" s="238">
        <v>8.36</v>
      </c>
      <c r="I105" s="238">
        <v>8.78</v>
      </c>
      <c r="J105" s="238">
        <v>9.39</v>
      </c>
      <c r="K105" s="238">
        <v>8.37</v>
      </c>
      <c r="L105" s="238">
        <v>9</v>
      </c>
      <c r="M105" s="239">
        <v>9.44</v>
      </c>
      <c r="N105" s="237">
        <v>2.98</v>
      </c>
      <c r="O105" s="238">
        <v>2.77</v>
      </c>
      <c r="P105" s="238">
        <v>2.86</v>
      </c>
      <c r="Q105" s="238">
        <v>2.79</v>
      </c>
      <c r="R105" s="238">
        <v>2.79</v>
      </c>
      <c r="S105" s="238">
        <v>2.67</v>
      </c>
      <c r="T105" s="238">
        <v>2.87</v>
      </c>
      <c r="U105" s="238">
        <v>2.83</v>
      </c>
      <c r="V105" s="238">
        <v>2.96</v>
      </c>
      <c r="W105" s="239">
        <v>2.78</v>
      </c>
      <c r="X105" s="237">
        <f t="shared" si="87"/>
        <v>3.2114093959731544</v>
      </c>
      <c r="Y105" s="238">
        <f t="shared" si="88"/>
        <v>3.2346570397111916</v>
      </c>
      <c r="Z105" s="238">
        <f t="shared" si="89"/>
        <v>3.080419580419581</v>
      </c>
      <c r="AA105" s="238">
        <f t="shared" si="90"/>
        <v>3.2795698924731185</v>
      </c>
      <c r="AB105" s="238">
        <f t="shared" si="91"/>
        <v>2.996415770609319</v>
      </c>
      <c r="AC105" s="238">
        <f t="shared" si="92"/>
        <v>3.2883895131086143</v>
      </c>
      <c r="AD105" s="238">
        <f t="shared" si="93"/>
        <v>3.2717770034843205</v>
      </c>
      <c r="AE105" s="238">
        <f t="shared" si="94"/>
        <v>2.957597173144876</v>
      </c>
      <c r="AF105" s="238">
        <f t="shared" si="95"/>
        <v>3.040540540540541</v>
      </c>
      <c r="AG105" s="239">
        <f t="shared" si="96"/>
        <v>3.3956834532374103</v>
      </c>
      <c r="AH105" s="243" t="s">
        <v>225</v>
      </c>
      <c r="AI105" s="237">
        <v>6.5</v>
      </c>
      <c r="AJ105" s="241">
        <v>5.99</v>
      </c>
      <c r="AK105" s="241">
        <v>6.51</v>
      </c>
      <c r="AL105" s="241">
        <v>6.36</v>
      </c>
      <c r="AM105" s="241">
        <v>6.74</v>
      </c>
      <c r="AN105" s="241">
        <v>6.76</v>
      </c>
      <c r="AO105" s="241">
        <v>6.55</v>
      </c>
      <c r="AP105" s="241">
        <v>5.99</v>
      </c>
      <c r="AQ105" s="238">
        <v>7</v>
      </c>
      <c r="AR105" s="239">
        <v>6.33</v>
      </c>
      <c r="AS105" s="237">
        <v>2.32</v>
      </c>
      <c r="AT105" s="241">
        <v>2.23</v>
      </c>
      <c r="AU105" s="241">
        <v>2.36</v>
      </c>
      <c r="AV105" s="241">
        <v>2.38</v>
      </c>
      <c r="AW105" s="241">
        <v>2.37</v>
      </c>
      <c r="AX105" s="241">
        <v>2.51</v>
      </c>
      <c r="AY105" s="241">
        <v>2.45</v>
      </c>
      <c r="AZ105" s="241">
        <v>2.33</v>
      </c>
      <c r="BA105" s="238">
        <v>2.53</v>
      </c>
      <c r="BB105" s="239">
        <v>2.5</v>
      </c>
      <c r="BC105" s="237">
        <f t="shared" si="77"/>
        <v>2.8017241379310347</v>
      </c>
      <c r="BD105" s="238">
        <f t="shared" si="78"/>
        <v>2.68609865470852</v>
      </c>
      <c r="BE105" s="238">
        <f t="shared" si="79"/>
        <v>2.7584745762711864</v>
      </c>
      <c r="BF105" s="238">
        <f t="shared" si="80"/>
        <v>2.6722689075630255</v>
      </c>
      <c r="BG105" s="238">
        <f t="shared" si="81"/>
        <v>2.8438818565400843</v>
      </c>
      <c r="BH105" s="238">
        <f t="shared" si="82"/>
        <v>2.6932270916334664</v>
      </c>
      <c r="BI105" s="238">
        <f t="shared" si="83"/>
        <v>2.6734693877551017</v>
      </c>
      <c r="BJ105" s="238">
        <f t="shared" si="84"/>
        <v>2.570815450643777</v>
      </c>
      <c r="BK105" s="238">
        <f t="shared" si="85"/>
        <v>2.766798418972332</v>
      </c>
      <c r="BL105" s="238">
        <f t="shared" si="86"/>
        <v>2.532</v>
      </c>
      <c r="BM105" s="373">
        <v>26.66</v>
      </c>
      <c r="BN105" s="373">
        <v>18.88</v>
      </c>
      <c r="BO105" s="374">
        <f t="shared" si="66"/>
        <v>0.7081770442610652</v>
      </c>
      <c r="BP105" s="373">
        <v>17.83</v>
      </c>
      <c r="BQ105" s="242">
        <f t="shared" si="65"/>
        <v>0.6687921980495123</v>
      </c>
      <c r="BS105" s="234"/>
    </row>
    <row r="106" spans="1:71" ht="15">
      <c r="A106" s="198">
        <v>1692</v>
      </c>
      <c r="B106" s="243" t="s">
        <v>226</v>
      </c>
      <c r="C106" s="236">
        <v>3</v>
      </c>
      <c r="D106" s="237">
        <v>9.64</v>
      </c>
      <c r="E106" s="238">
        <v>9.6</v>
      </c>
      <c r="F106" s="238">
        <v>9.56</v>
      </c>
      <c r="G106" s="238">
        <v>10</v>
      </c>
      <c r="H106" s="238">
        <v>9.52</v>
      </c>
      <c r="I106" s="238">
        <v>9.53</v>
      </c>
      <c r="J106" s="238">
        <v>9.17</v>
      </c>
      <c r="K106" s="238">
        <v>9.88</v>
      </c>
      <c r="L106" s="238">
        <v>9.54</v>
      </c>
      <c r="M106" s="239">
        <v>10.12</v>
      </c>
      <c r="N106" s="237">
        <v>2.87</v>
      </c>
      <c r="O106" s="238">
        <v>2.95</v>
      </c>
      <c r="P106" s="238">
        <v>2.76</v>
      </c>
      <c r="Q106" s="238">
        <v>2.95</v>
      </c>
      <c r="R106" s="238">
        <v>2.83</v>
      </c>
      <c r="S106" s="238">
        <v>2.82</v>
      </c>
      <c r="T106" s="238">
        <v>2.84</v>
      </c>
      <c r="U106" s="238">
        <v>2.93</v>
      </c>
      <c r="V106" s="238">
        <v>2.96</v>
      </c>
      <c r="W106" s="239">
        <v>2.9</v>
      </c>
      <c r="X106" s="237">
        <f t="shared" si="87"/>
        <v>3.3588850174216027</v>
      </c>
      <c r="Y106" s="238">
        <f t="shared" si="88"/>
        <v>3.254237288135593</v>
      </c>
      <c r="Z106" s="238">
        <f t="shared" si="89"/>
        <v>3.4637681159420293</v>
      </c>
      <c r="AA106" s="238">
        <f t="shared" si="90"/>
        <v>3.389830508474576</v>
      </c>
      <c r="AB106" s="238">
        <f t="shared" si="91"/>
        <v>3.363957597173145</v>
      </c>
      <c r="AC106" s="238">
        <f t="shared" si="92"/>
        <v>3.379432624113475</v>
      </c>
      <c r="AD106" s="238">
        <f t="shared" si="93"/>
        <v>3.22887323943662</v>
      </c>
      <c r="AE106" s="238">
        <f t="shared" si="94"/>
        <v>3.372013651877133</v>
      </c>
      <c r="AF106" s="238">
        <f t="shared" si="95"/>
        <v>3.222972972972973</v>
      </c>
      <c r="AG106" s="239">
        <f t="shared" si="96"/>
        <v>3.489655172413793</v>
      </c>
      <c r="AH106" s="243" t="s">
        <v>226</v>
      </c>
      <c r="AI106" s="237">
        <v>7.21</v>
      </c>
      <c r="AJ106" s="241">
        <v>6.39</v>
      </c>
      <c r="AK106" s="241">
        <v>6.6</v>
      </c>
      <c r="AL106" s="241">
        <v>6.78</v>
      </c>
      <c r="AM106" s="241">
        <v>7.36</v>
      </c>
      <c r="AN106" s="241">
        <v>6.89</v>
      </c>
      <c r="AO106" s="241">
        <v>6.92</v>
      </c>
      <c r="AP106" s="241">
        <v>6.53</v>
      </c>
      <c r="AQ106" s="238">
        <v>7.15</v>
      </c>
      <c r="AR106" s="239">
        <v>7.25</v>
      </c>
      <c r="AS106" s="237">
        <v>2.63</v>
      </c>
      <c r="AT106" s="241">
        <v>2.6</v>
      </c>
      <c r="AU106" s="241">
        <v>2.23</v>
      </c>
      <c r="AV106" s="241">
        <v>2.49</v>
      </c>
      <c r="AW106" s="241">
        <v>2.59</v>
      </c>
      <c r="AX106" s="241">
        <v>2.45</v>
      </c>
      <c r="AY106" s="241">
        <v>2.63</v>
      </c>
      <c r="AZ106" s="241">
        <v>2.67</v>
      </c>
      <c r="BA106" s="238">
        <v>2.48</v>
      </c>
      <c r="BB106" s="239">
        <v>2.61</v>
      </c>
      <c r="BC106" s="237">
        <f t="shared" si="77"/>
        <v>2.741444866920152</v>
      </c>
      <c r="BD106" s="238">
        <f t="shared" si="78"/>
        <v>2.4576923076923074</v>
      </c>
      <c r="BE106" s="238">
        <f t="shared" si="79"/>
        <v>2.959641255605381</v>
      </c>
      <c r="BF106" s="238">
        <f t="shared" si="80"/>
        <v>2.72289156626506</v>
      </c>
      <c r="BG106" s="238">
        <f t="shared" si="81"/>
        <v>2.841698841698842</v>
      </c>
      <c r="BH106" s="238">
        <f t="shared" si="82"/>
        <v>2.812244897959183</v>
      </c>
      <c r="BI106" s="238">
        <f t="shared" si="83"/>
        <v>2.631178707224335</v>
      </c>
      <c r="BJ106" s="238">
        <f t="shared" si="84"/>
        <v>2.445692883895131</v>
      </c>
      <c r="BK106" s="238">
        <f t="shared" si="85"/>
        <v>2.8830645161290325</v>
      </c>
      <c r="BL106" s="238">
        <f t="shared" si="86"/>
        <v>2.777777777777778</v>
      </c>
      <c r="BM106" s="373">
        <v>30.87</v>
      </c>
      <c r="BN106" s="373">
        <v>20.47</v>
      </c>
      <c r="BO106" s="374">
        <f t="shared" si="66"/>
        <v>0.6631033365727242</v>
      </c>
      <c r="BP106" s="373">
        <v>19.52</v>
      </c>
      <c r="BQ106" s="242">
        <f t="shared" si="65"/>
        <v>0.6323291221250404</v>
      </c>
      <c r="BS106" s="234"/>
    </row>
    <row r="107" spans="1:71" ht="15">
      <c r="A107" s="198">
        <v>1693</v>
      </c>
      <c r="B107" s="243" t="s">
        <v>227</v>
      </c>
      <c r="C107" s="236">
        <v>3</v>
      </c>
      <c r="D107" s="237">
        <v>9.57</v>
      </c>
      <c r="E107" s="238">
        <v>10.19</v>
      </c>
      <c r="F107" s="238">
        <v>9.65</v>
      </c>
      <c r="G107" s="238">
        <v>9.33</v>
      </c>
      <c r="H107" s="238">
        <v>10.17</v>
      </c>
      <c r="I107" s="238">
        <v>10.36</v>
      </c>
      <c r="J107" s="238">
        <v>9.49</v>
      </c>
      <c r="K107" s="238">
        <v>10.22</v>
      </c>
      <c r="L107" s="238">
        <v>10.18</v>
      </c>
      <c r="M107" s="239">
        <v>9.57</v>
      </c>
      <c r="N107" s="237">
        <v>3.58</v>
      </c>
      <c r="O107" s="238">
        <v>3.85</v>
      </c>
      <c r="P107" s="238">
        <v>3.62</v>
      </c>
      <c r="Q107" s="238">
        <v>3.43</v>
      </c>
      <c r="R107" s="238">
        <v>3.49</v>
      </c>
      <c r="S107" s="238">
        <v>3.72</v>
      </c>
      <c r="T107" s="238">
        <v>3.56</v>
      </c>
      <c r="U107" s="238">
        <v>3.85</v>
      </c>
      <c r="V107" s="238">
        <v>3.79</v>
      </c>
      <c r="W107" s="239">
        <v>3.83</v>
      </c>
      <c r="X107" s="237">
        <f t="shared" si="87"/>
        <v>2.6731843575418996</v>
      </c>
      <c r="Y107" s="238">
        <f t="shared" si="88"/>
        <v>2.6467532467532466</v>
      </c>
      <c r="Z107" s="238">
        <f t="shared" si="89"/>
        <v>2.665745856353591</v>
      </c>
      <c r="AA107" s="238">
        <f t="shared" si="90"/>
        <v>2.7201166180758016</v>
      </c>
      <c r="AB107" s="238">
        <f t="shared" si="91"/>
        <v>2.9140401146131802</v>
      </c>
      <c r="AC107" s="238">
        <f t="shared" si="92"/>
        <v>2.7849462365591395</v>
      </c>
      <c r="AD107" s="238">
        <f t="shared" si="93"/>
        <v>2.6657303370786516</v>
      </c>
      <c r="AE107" s="238">
        <f t="shared" si="94"/>
        <v>2.6545454545454548</v>
      </c>
      <c r="AF107" s="238">
        <f t="shared" si="95"/>
        <v>2.6860158311345645</v>
      </c>
      <c r="AG107" s="239">
        <f t="shared" si="96"/>
        <v>2.4986945169712795</v>
      </c>
      <c r="AH107" s="243" t="s">
        <v>227</v>
      </c>
      <c r="AI107" s="237">
        <v>7.4</v>
      </c>
      <c r="AJ107" s="241">
        <v>7.2</v>
      </c>
      <c r="AK107" s="241">
        <v>7</v>
      </c>
      <c r="AL107" s="241">
        <v>7.65</v>
      </c>
      <c r="AM107" s="241">
        <v>7.35</v>
      </c>
      <c r="AN107" s="241">
        <v>7.36</v>
      </c>
      <c r="AO107" s="241">
        <v>7.37</v>
      </c>
      <c r="AP107" s="241">
        <v>7.05</v>
      </c>
      <c r="AQ107" s="238">
        <v>6.98</v>
      </c>
      <c r="AR107" s="239">
        <v>7.4</v>
      </c>
      <c r="AS107" s="237">
        <v>3.12</v>
      </c>
      <c r="AT107" s="241">
        <v>3.28</v>
      </c>
      <c r="AU107" s="241">
        <v>3.22</v>
      </c>
      <c r="AV107" s="241">
        <v>3.3</v>
      </c>
      <c r="AW107" s="241">
        <v>3.19</v>
      </c>
      <c r="AX107" s="241">
        <v>3.19</v>
      </c>
      <c r="AY107" s="241">
        <v>3.35</v>
      </c>
      <c r="AZ107" s="241">
        <v>3.27</v>
      </c>
      <c r="BA107" s="238">
        <v>3.18</v>
      </c>
      <c r="BB107" s="239">
        <v>3.21</v>
      </c>
      <c r="BC107" s="237">
        <f t="shared" si="77"/>
        <v>2.371794871794872</v>
      </c>
      <c r="BD107" s="238">
        <f t="shared" si="78"/>
        <v>2.1951219512195124</v>
      </c>
      <c r="BE107" s="238">
        <f t="shared" si="79"/>
        <v>2.1739130434782608</v>
      </c>
      <c r="BF107" s="238">
        <f t="shared" si="80"/>
        <v>2.3181818181818183</v>
      </c>
      <c r="BG107" s="238">
        <f t="shared" si="81"/>
        <v>2.304075235109718</v>
      </c>
      <c r="BH107" s="238">
        <f t="shared" si="82"/>
        <v>2.3072100313479624</v>
      </c>
      <c r="BI107" s="238">
        <f t="shared" si="83"/>
        <v>2.2</v>
      </c>
      <c r="BJ107" s="238">
        <f t="shared" si="84"/>
        <v>2.1559633027522933</v>
      </c>
      <c r="BK107" s="238">
        <f t="shared" si="85"/>
        <v>2.1949685534591197</v>
      </c>
      <c r="BL107" s="238">
        <f t="shared" si="86"/>
        <v>2.3052959501557635</v>
      </c>
      <c r="BM107" s="373">
        <v>41.49</v>
      </c>
      <c r="BN107" s="373">
        <v>28.14</v>
      </c>
      <c r="BO107" s="374">
        <f t="shared" si="66"/>
        <v>0.67823571945047</v>
      </c>
      <c r="BP107" s="373">
        <v>15.28</v>
      </c>
      <c r="BQ107" s="242">
        <f t="shared" si="65"/>
        <v>0.3682815136177392</v>
      </c>
      <c r="BS107" s="234"/>
    </row>
    <row r="108" spans="1:71" ht="15">
      <c r="A108" s="198">
        <v>1694</v>
      </c>
      <c r="B108" s="243" t="s">
        <v>228</v>
      </c>
      <c r="C108" s="236">
        <v>3</v>
      </c>
      <c r="D108" s="237">
        <v>9.32</v>
      </c>
      <c r="E108" s="238">
        <v>9.35</v>
      </c>
      <c r="F108" s="238">
        <v>9.79</v>
      </c>
      <c r="G108" s="238">
        <v>8.79</v>
      </c>
      <c r="H108" s="238">
        <v>9.27</v>
      </c>
      <c r="I108" s="238">
        <v>9.25</v>
      </c>
      <c r="J108" s="238">
        <v>8.89</v>
      </c>
      <c r="K108" s="238">
        <v>8.84</v>
      </c>
      <c r="L108" s="238">
        <v>9.04</v>
      </c>
      <c r="M108" s="239">
        <v>9.25</v>
      </c>
      <c r="N108" s="237">
        <v>3.81</v>
      </c>
      <c r="O108" s="238">
        <v>3.74</v>
      </c>
      <c r="P108" s="238">
        <v>3.84</v>
      </c>
      <c r="Q108" s="238">
        <v>3.77</v>
      </c>
      <c r="R108" s="238">
        <v>3.73</v>
      </c>
      <c r="S108" s="238">
        <v>3.61</v>
      </c>
      <c r="T108" s="238">
        <v>3.56</v>
      </c>
      <c r="U108" s="238">
        <v>3.65</v>
      </c>
      <c r="V108" s="238">
        <v>3.61</v>
      </c>
      <c r="W108" s="239">
        <v>3.75</v>
      </c>
      <c r="X108" s="237">
        <f t="shared" si="87"/>
        <v>2.446194225721785</v>
      </c>
      <c r="Y108" s="238">
        <f t="shared" si="88"/>
        <v>2.4999999999999996</v>
      </c>
      <c r="Z108" s="238">
        <f t="shared" si="89"/>
        <v>2.5494791666666665</v>
      </c>
      <c r="AA108" s="238">
        <f t="shared" si="90"/>
        <v>2.3315649867374004</v>
      </c>
      <c r="AB108" s="238">
        <f t="shared" si="91"/>
        <v>2.485254691689008</v>
      </c>
      <c r="AC108" s="238">
        <f t="shared" si="92"/>
        <v>2.5623268698060944</v>
      </c>
      <c r="AD108" s="238">
        <f t="shared" si="93"/>
        <v>2.497191011235955</v>
      </c>
      <c r="AE108" s="238">
        <f t="shared" si="94"/>
        <v>2.421917808219178</v>
      </c>
      <c r="AF108" s="238">
        <f t="shared" si="95"/>
        <v>2.5041551246537397</v>
      </c>
      <c r="AG108" s="239">
        <f t="shared" si="96"/>
        <v>2.466666666666667</v>
      </c>
      <c r="AH108" s="243" t="s">
        <v>228</v>
      </c>
      <c r="AI108" s="237">
        <v>6.68</v>
      </c>
      <c r="AJ108" s="241">
        <v>6.31</v>
      </c>
      <c r="AK108" s="241">
        <v>7.04</v>
      </c>
      <c r="AL108" s="241">
        <v>7.04</v>
      </c>
      <c r="AM108" s="241">
        <v>6.82</v>
      </c>
      <c r="AN108" s="241">
        <v>6.98</v>
      </c>
      <c r="AO108" s="241">
        <v>6.97</v>
      </c>
      <c r="AP108" s="241">
        <v>7</v>
      </c>
      <c r="AQ108" s="238">
        <v>6.83</v>
      </c>
      <c r="AR108" s="239">
        <v>6.85</v>
      </c>
      <c r="AS108" s="237">
        <v>3.22</v>
      </c>
      <c r="AT108" s="241">
        <v>2.97</v>
      </c>
      <c r="AU108" s="241">
        <v>3.13</v>
      </c>
      <c r="AV108" s="241">
        <v>3.22</v>
      </c>
      <c r="AW108" s="241">
        <v>3.33</v>
      </c>
      <c r="AX108" s="241">
        <v>3.09</v>
      </c>
      <c r="AY108" s="241">
        <v>3.29</v>
      </c>
      <c r="AZ108" s="241">
        <v>3.24</v>
      </c>
      <c r="BA108" s="238">
        <v>3.31</v>
      </c>
      <c r="BB108" s="239">
        <v>3.16</v>
      </c>
      <c r="BC108" s="237">
        <f t="shared" si="77"/>
        <v>2.074534161490683</v>
      </c>
      <c r="BD108" s="238">
        <f t="shared" si="78"/>
        <v>2.124579124579124</v>
      </c>
      <c r="BE108" s="238">
        <f t="shared" si="79"/>
        <v>2.2492012779552715</v>
      </c>
      <c r="BF108" s="238">
        <f t="shared" si="80"/>
        <v>2.1863354037267078</v>
      </c>
      <c r="BG108" s="238">
        <f t="shared" si="81"/>
        <v>2.0480480480480483</v>
      </c>
      <c r="BH108" s="238">
        <f t="shared" si="82"/>
        <v>2.2588996763754046</v>
      </c>
      <c r="BI108" s="238">
        <f t="shared" si="83"/>
        <v>2.11854103343465</v>
      </c>
      <c r="BJ108" s="238">
        <f t="shared" si="84"/>
        <v>2.1604938271604937</v>
      </c>
      <c r="BK108" s="238">
        <f t="shared" si="85"/>
        <v>2.0634441087613293</v>
      </c>
      <c r="BL108" s="238">
        <f t="shared" si="86"/>
        <v>2.1677215189873418</v>
      </c>
      <c r="BM108" s="373">
        <v>38</v>
      </c>
      <c r="BN108" s="373">
        <v>25.39</v>
      </c>
      <c r="BO108" s="374">
        <f t="shared" si="66"/>
        <v>0.6681578947368422</v>
      </c>
      <c r="BP108" s="373">
        <v>23.33</v>
      </c>
      <c r="BQ108" s="242">
        <f t="shared" si="65"/>
        <v>0.6139473684210526</v>
      </c>
      <c r="BS108" s="234"/>
    </row>
    <row r="109" spans="1:71" ht="15">
      <c r="A109" s="198">
        <v>1695</v>
      </c>
      <c r="B109" s="243" t="s">
        <v>229</v>
      </c>
      <c r="C109" s="236">
        <v>3</v>
      </c>
      <c r="D109" s="237">
        <v>8.69</v>
      </c>
      <c r="E109" s="238">
        <v>8.51</v>
      </c>
      <c r="F109" s="238">
        <v>8.92</v>
      </c>
      <c r="G109" s="238">
        <v>8.59</v>
      </c>
      <c r="H109" s="238">
        <v>9.08</v>
      </c>
      <c r="I109" s="238">
        <v>8.86</v>
      </c>
      <c r="J109" s="238">
        <v>8.94</v>
      </c>
      <c r="K109" s="238">
        <v>8.72</v>
      </c>
      <c r="L109" s="238">
        <v>8.67</v>
      </c>
      <c r="M109" s="239">
        <v>8.64</v>
      </c>
      <c r="N109" s="237">
        <v>3.39</v>
      </c>
      <c r="O109" s="238">
        <v>3.33</v>
      </c>
      <c r="P109" s="238">
        <v>3.33</v>
      </c>
      <c r="Q109" s="238">
        <v>3.45</v>
      </c>
      <c r="R109" s="238">
        <v>3.52</v>
      </c>
      <c r="S109" s="238">
        <v>3.36</v>
      </c>
      <c r="T109" s="238">
        <v>3.41</v>
      </c>
      <c r="U109" s="238">
        <v>3.42</v>
      </c>
      <c r="V109" s="238">
        <v>3.41</v>
      </c>
      <c r="W109" s="239">
        <v>3.4</v>
      </c>
      <c r="X109" s="237">
        <f t="shared" si="87"/>
        <v>2.563421828908554</v>
      </c>
      <c r="Y109" s="238">
        <f t="shared" si="88"/>
        <v>2.5555555555555554</v>
      </c>
      <c r="Z109" s="238">
        <f t="shared" si="89"/>
        <v>2.6786786786786787</v>
      </c>
      <c r="AA109" s="238">
        <f t="shared" si="90"/>
        <v>2.489855072463768</v>
      </c>
      <c r="AB109" s="238">
        <f t="shared" si="91"/>
        <v>2.5795454545454546</v>
      </c>
      <c r="AC109" s="238">
        <f t="shared" si="92"/>
        <v>2.636904761904762</v>
      </c>
      <c r="AD109" s="238">
        <f t="shared" si="93"/>
        <v>2.621700879765396</v>
      </c>
      <c r="AE109" s="238">
        <f t="shared" si="94"/>
        <v>2.5497076023391814</v>
      </c>
      <c r="AF109" s="238">
        <f t="shared" si="95"/>
        <v>2.5425219941348973</v>
      </c>
      <c r="AG109" s="239">
        <f t="shared" si="96"/>
        <v>2.5411764705882356</v>
      </c>
      <c r="AH109" s="243" t="s">
        <v>229</v>
      </c>
      <c r="AI109" s="237">
        <v>6.44</v>
      </c>
      <c r="AJ109" s="241">
        <v>6.15</v>
      </c>
      <c r="AK109" s="241">
        <v>6.12</v>
      </c>
      <c r="AL109" s="241">
        <v>6.23</v>
      </c>
      <c r="AM109" s="241">
        <v>6.38</v>
      </c>
      <c r="AN109" s="241">
        <v>6.5</v>
      </c>
      <c r="AO109" s="241">
        <v>5.83</v>
      </c>
      <c r="AP109" s="241">
        <v>6.13</v>
      </c>
      <c r="AQ109" s="238">
        <v>6.13</v>
      </c>
      <c r="AR109" s="239">
        <v>6.12</v>
      </c>
      <c r="AS109" s="237">
        <v>2.93</v>
      </c>
      <c r="AT109" s="241">
        <v>3.06</v>
      </c>
      <c r="AU109" s="241">
        <v>2.85</v>
      </c>
      <c r="AV109" s="241">
        <v>2.93</v>
      </c>
      <c r="AW109" s="241">
        <v>2.89</v>
      </c>
      <c r="AX109" s="241">
        <v>2.83</v>
      </c>
      <c r="AY109" s="241">
        <v>2.82</v>
      </c>
      <c r="AZ109" s="241">
        <v>2.92</v>
      </c>
      <c r="BA109" s="238">
        <v>2.87</v>
      </c>
      <c r="BB109" s="239">
        <v>2.95</v>
      </c>
      <c r="BC109" s="237">
        <f t="shared" si="77"/>
        <v>2.197952218430034</v>
      </c>
      <c r="BD109" s="238">
        <f t="shared" si="78"/>
        <v>2.0098039215686274</v>
      </c>
      <c r="BE109" s="238">
        <f t="shared" si="79"/>
        <v>2.1473684210526316</v>
      </c>
      <c r="BF109" s="238">
        <f t="shared" si="80"/>
        <v>2.1262798634812285</v>
      </c>
      <c r="BG109" s="238">
        <f t="shared" si="81"/>
        <v>2.207612456747405</v>
      </c>
      <c r="BH109" s="238">
        <f t="shared" si="82"/>
        <v>2.2968197879858656</v>
      </c>
      <c r="BI109" s="238">
        <f t="shared" si="83"/>
        <v>2.0673758865248226</v>
      </c>
      <c r="BJ109" s="238">
        <f t="shared" si="84"/>
        <v>2.0993150684931505</v>
      </c>
      <c r="BK109" s="238">
        <f t="shared" si="85"/>
        <v>2.1358885017421603</v>
      </c>
      <c r="BL109" s="238">
        <f t="shared" si="86"/>
        <v>2.0745762711864404</v>
      </c>
      <c r="BM109" s="373">
        <v>31.6</v>
      </c>
      <c r="BN109" s="373">
        <v>21.65</v>
      </c>
      <c r="BO109" s="374">
        <f t="shared" si="66"/>
        <v>0.6851265822784809</v>
      </c>
      <c r="BP109" s="373">
        <v>18.93</v>
      </c>
      <c r="BQ109" s="242">
        <f t="shared" si="65"/>
        <v>0.5990506329113924</v>
      </c>
      <c r="BS109" s="234"/>
    </row>
    <row r="110" spans="1:71" ht="15">
      <c r="A110" s="198">
        <v>1696</v>
      </c>
      <c r="B110" s="243" t="s">
        <v>230</v>
      </c>
      <c r="C110" s="236">
        <v>3</v>
      </c>
      <c r="D110" s="237">
        <v>8.75</v>
      </c>
      <c r="E110" s="238">
        <v>9.15</v>
      </c>
      <c r="F110" s="238">
        <v>9.31</v>
      </c>
      <c r="G110" s="238">
        <v>8.26</v>
      </c>
      <c r="H110" s="238">
        <v>9.11</v>
      </c>
      <c r="I110" s="238">
        <v>9.03</v>
      </c>
      <c r="J110" s="238">
        <v>9.48</v>
      </c>
      <c r="K110" s="238">
        <v>9.41</v>
      </c>
      <c r="L110" s="238">
        <v>8.92</v>
      </c>
      <c r="M110" s="239">
        <v>9.43</v>
      </c>
      <c r="N110" s="237">
        <v>3.08</v>
      </c>
      <c r="O110" s="238">
        <v>3</v>
      </c>
      <c r="P110" s="238">
        <v>2.89</v>
      </c>
      <c r="Q110" s="238">
        <v>3</v>
      </c>
      <c r="R110" s="238">
        <v>2.97</v>
      </c>
      <c r="S110" s="238">
        <v>2.92</v>
      </c>
      <c r="T110" s="238">
        <v>3.21</v>
      </c>
      <c r="U110" s="238">
        <v>3.02</v>
      </c>
      <c r="V110" s="238">
        <v>2.88</v>
      </c>
      <c r="W110" s="239">
        <v>2.97</v>
      </c>
      <c r="X110" s="237">
        <f t="shared" si="87"/>
        <v>2.840909090909091</v>
      </c>
      <c r="Y110" s="238">
        <f t="shared" si="88"/>
        <v>3.0500000000000003</v>
      </c>
      <c r="Z110" s="238">
        <f t="shared" si="89"/>
        <v>3.2214532871972317</v>
      </c>
      <c r="AA110" s="238">
        <f t="shared" si="90"/>
        <v>2.7533333333333334</v>
      </c>
      <c r="AB110" s="238">
        <f t="shared" si="91"/>
        <v>3.067340067340067</v>
      </c>
      <c r="AC110" s="238">
        <f t="shared" si="92"/>
        <v>3.0924657534246576</v>
      </c>
      <c r="AD110" s="238">
        <f t="shared" si="93"/>
        <v>2.9532710280373835</v>
      </c>
      <c r="AE110" s="238">
        <f t="shared" si="94"/>
        <v>3.115894039735099</v>
      </c>
      <c r="AF110" s="238">
        <f t="shared" si="95"/>
        <v>3.0972222222222223</v>
      </c>
      <c r="AG110" s="239">
        <f t="shared" si="96"/>
        <v>3.1750841750841747</v>
      </c>
      <c r="AH110" s="243" t="s">
        <v>230</v>
      </c>
      <c r="AI110" s="237">
        <v>6.47</v>
      </c>
      <c r="AJ110" s="241">
        <v>6.23</v>
      </c>
      <c r="AK110" s="241">
        <v>6.18</v>
      </c>
      <c r="AL110" s="241">
        <v>6.39</v>
      </c>
      <c r="AM110" s="241">
        <v>6.16</v>
      </c>
      <c r="AN110" s="241">
        <v>6.43</v>
      </c>
      <c r="AO110" s="241">
        <v>6.39</v>
      </c>
      <c r="AP110" s="241">
        <v>5.9</v>
      </c>
      <c r="AQ110" s="238">
        <v>6.04</v>
      </c>
      <c r="AR110" s="239">
        <v>6.16</v>
      </c>
      <c r="AS110" s="237">
        <v>2.57</v>
      </c>
      <c r="AT110" s="241">
        <v>2.56</v>
      </c>
      <c r="AU110" s="241">
        <v>2.55</v>
      </c>
      <c r="AV110" s="241">
        <v>2.29</v>
      </c>
      <c r="AW110" s="241">
        <v>2.54</v>
      </c>
      <c r="AX110" s="241">
        <v>2.45</v>
      </c>
      <c r="AY110" s="241">
        <v>2.51</v>
      </c>
      <c r="AZ110" s="241">
        <v>2.55</v>
      </c>
      <c r="BA110" s="238">
        <v>2.64</v>
      </c>
      <c r="BB110" s="239">
        <v>2.44</v>
      </c>
      <c r="BC110" s="237">
        <f t="shared" si="77"/>
        <v>2.517509727626459</v>
      </c>
      <c r="BD110" s="238">
        <f t="shared" si="78"/>
        <v>2.43359375</v>
      </c>
      <c r="BE110" s="238">
        <f t="shared" si="79"/>
        <v>2.423529411764706</v>
      </c>
      <c r="BF110" s="238">
        <f t="shared" si="80"/>
        <v>2.7903930131004366</v>
      </c>
      <c r="BG110" s="238">
        <f t="shared" si="81"/>
        <v>2.425196850393701</v>
      </c>
      <c r="BH110" s="238">
        <f t="shared" si="82"/>
        <v>2.624489795918367</v>
      </c>
      <c r="BI110" s="238">
        <f t="shared" si="83"/>
        <v>2.545816733067729</v>
      </c>
      <c r="BJ110" s="238">
        <f t="shared" si="84"/>
        <v>2.3137254901960786</v>
      </c>
      <c r="BK110" s="238">
        <f t="shared" si="85"/>
        <v>2.2878787878787876</v>
      </c>
      <c r="BL110" s="238">
        <f t="shared" si="86"/>
        <v>2.5245901639344264</v>
      </c>
      <c r="BM110" s="373">
        <v>25.91</v>
      </c>
      <c r="BN110" s="373">
        <v>18.49</v>
      </c>
      <c r="BO110" s="374">
        <f t="shared" si="66"/>
        <v>0.7136240833654959</v>
      </c>
      <c r="BP110" s="373">
        <v>18.09</v>
      </c>
      <c r="BQ110" s="242">
        <f t="shared" si="65"/>
        <v>0.6981860285604014</v>
      </c>
      <c r="BS110" s="234"/>
    </row>
    <row r="111" spans="1:71" ht="15">
      <c r="A111" s="198">
        <v>1697</v>
      </c>
      <c r="B111" s="243" t="s">
        <v>231</v>
      </c>
      <c r="C111" s="236">
        <v>3</v>
      </c>
      <c r="D111" s="237">
        <v>8.79</v>
      </c>
      <c r="E111" s="238">
        <v>9.9</v>
      </c>
      <c r="F111" s="238">
        <v>9.84</v>
      </c>
      <c r="G111" s="238">
        <v>9.92</v>
      </c>
      <c r="H111" s="238">
        <v>9.45</v>
      </c>
      <c r="I111" s="238">
        <v>10.13</v>
      </c>
      <c r="J111" s="238">
        <v>9.39</v>
      </c>
      <c r="K111" s="238">
        <v>9.65</v>
      </c>
      <c r="L111" s="238">
        <v>10.13</v>
      </c>
      <c r="M111" s="239">
        <v>9.19</v>
      </c>
      <c r="N111" s="237">
        <v>2.31</v>
      </c>
      <c r="O111" s="238">
        <v>2.62</v>
      </c>
      <c r="P111" s="238">
        <v>2.63</v>
      </c>
      <c r="Q111" s="238">
        <v>2.48</v>
      </c>
      <c r="R111" s="238">
        <v>2.44</v>
      </c>
      <c r="S111" s="238">
        <v>2.86</v>
      </c>
      <c r="T111" s="238">
        <v>2.79</v>
      </c>
      <c r="U111" s="238">
        <v>2.49</v>
      </c>
      <c r="V111" s="238">
        <v>2.53</v>
      </c>
      <c r="W111" s="239">
        <v>2.43</v>
      </c>
      <c r="X111" s="237">
        <f t="shared" si="87"/>
        <v>3.805194805194805</v>
      </c>
      <c r="Y111" s="238">
        <f t="shared" si="88"/>
        <v>3.7786259541984735</v>
      </c>
      <c r="Z111" s="238">
        <f t="shared" si="89"/>
        <v>3.741444866920152</v>
      </c>
      <c r="AA111" s="238">
        <f t="shared" si="90"/>
        <v>4</v>
      </c>
      <c r="AB111" s="238">
        <f t="shared" si="91"/>
        <v>3.872950819672131</v>
      </c>
      <c r="AC111" s="238">
        <f t="shared" si="92"/>
        <v>3.5419580419580425</v>
      </c>
      <c r="AD111" s="238">
        <f t="shared" si="93"/>
        <v>3.3655913978494625</v>
      </c>
      <c r="AE111" s="238">
        <f t="shared" si="94"/>
        <v>3.8755020080321283</v>
      </c>
      <c r="AF111" s="238">
        <f t="shared" si="95"/>
        <v>4.003952569169961</v>
      </c>
      <c r="AG111" s="239">
        <f t="shared" si="96"/>
        <v>3.7818930041152257</v>
      </c>
      <c r="AH111" s="243" t="s">
        <v>231</v>
      </c>
      <c r="AI111" s="237">
        <v>7.12</v>
      </c>
      <c r="AJ111" s="241">
        <v>6.55</v>
      </c>
      <c r="AK111" s="241">
        <v>7.42</v>
      </c>
      <c r="AL111" s="241">
        <v>7.26</v>
      </c>
      <c r="AM111" s="241">
        <v>7.21</v>
      </c>
      <c r="AN111" s="241">
        <v>7.05</v>
      </c>
      <c r="AO111" s="241">
        <v>7.29</v>
      </c>
      <c r="AP111" s="241">
        <v>7.38</v>
      </c>
      <c r="AQ111" s="238">
        <v>6.96</v>
      </c>
      <c r="AR111" s="239">
        <v>6.88</v>
      </c>
      <c r="AS111" s="237">
        <v>2.28</v>
      </c>
      <c r="AT111" s="241">
        <v>2.06</v>
      </c>
      <c r="AU111" s="241">
        <v>2.25</v>
      </c>
      <c r="AV111" s="241">
        <v>2.25</v>
      </c>
      <c r="AW111" s="241">
        <v>2.13</v>
      </c>
      <c r="AX111" s="241">
        <v>2.19</v>
      </c>
      <c r="AY111" s="241">
        <v>2.34</v>
      </c>
      <c r="AZ111" s="241">
        <v>2.21</v>
      </c>
      <c r="BA111" s="238">
        <v>2.1</v>
      </c>
      <c r="BB111" s="239">
        <v>2.18</v>
      </c>
      <c r="BC111" s="237">
        <f t="shared" si="77"/>
        <v>3.12280701754386</v>
      </c>
      <c r="BD111" s="238">
        <f t="shared" si="78"/>
        <v>3.1796116504854366</v>
      </c>
      <c r="BE111" s="238">
        <f t="shared" si="79"/>
        <v>3.2977777777777777</v>
      </c>
      <c r="BF111" s="238">
        <f t="shared" si="80"/>
        <v>3.2266666666666666</v>
      </c>
      <c r="BG111" s="238">
        <f t="shared" si="81"/>
        <v>3.3849765258215965</v>
      </c>
      <c r="BH111" s="238">
        <f t="shared" si="82"/>
        <v>3.219178082191781</v>
      </c>
      <c r="BI111" s="238">
        <f t="shared" si="83"/>
        <v>3.1153846153846154</v>
      </c>
      <c r="BJ111" s="238">
        <f t="shared" si="84"/>
        <v>3.339366515837104</v>
      </c>
      <c r="BK111" s="238">
        <f t="shared" si="85"/>
        <v>3.314285714285714</v>
      </c>
      <c r="BL111" s="238">
        <f t="shared" si="86"/>
        <v>3.1559633027522933</v>
      </c>
      <c r="BM111" s="373">
        <v>25.02</v>
      </c>
      <c r="BN111" s="373">
        <v>17.53</v>
      </c>
      <c r="BO111" s="374">
        <f t="shared" si="66"/>
        <v>0.7006394884092726</v>
      </c>
      <c r="BP111" s="373">
        <v>16.93</v>
      </c>
      <c r="BQ111" s="242">
        <f t="shared" si="65"/>
        <v>0.6766586730615508</v>
      </c>
      <c r="BS111" s="234"/>
    </row>
    <row r="112" spans="1:71" ht="15">
      <c r="A112" s="198">
        <v>1698</v>
      </c>
      <c r="B112" s="243" t="s">
        <v>232</v>
      </c>
      <c r="C112" s="236">
        <v>3</v>
      </c>
      <c r="D112" s="237">
        <v>8.67</v>
      </c>
      <c r="E112" s="238">
        <v>9.45</v>
      </c>
      <c r="F112" s="238">
        <v>9.29</v>
      </c>
      <c r="G112" s="238">
        <v>8.64</v>
      </c>
      <c r="H112" s="238">
        <v>8.74</v>
      </c>
      <c r="I112" s="238">
        <v>8.73</v>
      </c>
      <c r="J112" s="238">
        <v>8.72</v>
      </c>
      <c r="K112" s="238">
        <v>8.72</v>
      </c>
      <c r="L112" s="238">
        <v>8.97</v>
      </c>
      <c r="M112" s="239">
        <v>9.05</v>
      </c>
      <c r="N112" s="237">
        <v>3.1</v>
      </c>
      <c r="O112" s="238">
        <v>3.08</v>
      </c>
      <c r="P112" s="238">
        <v>3.25</v>
      </c>
      <c r="Q112" s="238">
        <v>3.1</v>
      </c>
      <c r="R112" s="238">
        <v>2.93</v>
      </c>
      <c r="S112" s="238">
        <v>3.14</v>
      </c>
      <c r="T112" s="238">
        <v>3.13</v>
      </c>
      <c r="U112" s="238">
        <v>2.94</v>
      </c>
      <c r="V112" s="238">
        <v>2.97</v>
      </c>
      <c r="W112" s="239">
        <v>3.17</v>
      </c>
      <c r="X112" s="237">
        <f t="shared" si="87"/>
        <v>2.796774193548387</v>
      </c>
      <c r="Y112" s="238">
        <f t="shared" si="88"/>
        <v>3.068181818181818</v>
      </c>
      <c r="Z112" s="238">
        <f t="shared" si="89"/>
        <v>2.858461538461538</v>
      </c>
      <c r="AA112" s="238">
        <f t="shared" si="90"/>
        <v>2.7870967741935484</v>
      </c>
      <c r="AB112" s="238">
        <f t="shared" si="91"/>
        <v>2.9829351535836177</v>
      </c>
      <c r="AC112" s="238">
        <f t="shared" si="92"/>
        <v>2.7802547770700636</v>
      </c>
      <c r="AD112" s="238">
        <f t="shared" si="93"/>
        <v>2.7859424920127798</v>
      </c>
      <c r="AE112" s="238">
        <f t="shared" si="94"/>
        <v>2.9659863945578233</v>
      </c>
      <c r="AF112" s="238">
        <f t="shared" si="95"/>
        <v>3.0202020202020203</v>
      </c>
      <c r="AG112" s="239">
        <f t="shared" si="96"/>
        <v>2.8548895899053632</v>
      </c>
      <c r="AH112" s="243" t="s">
        <v>232</v>
      </c>
      <c r="AI112" s="237">
        <v>6.6</v>
      </c>
      <c r="AJ112" s="241">
        <v>6.48</v>
      </c>
      <c r="AK112" s="241">
        <v>6.12</v>
      </c>
      <c r="AL112" s="241">
        <v>6.55</v>
      </c>
      <c r="AM112" s="241">
        <v>6.71</v>
      </c>
      <c r="AN112" s="241">
        <v>6.64</v>
      </c>
      <c r="AO112" s="241">
        <v>6.39</v>
      </c>
      <c r="AP112" s="241">
        <v>6.5</v>
      </c>
      <c r="AQ112" s="238">
        <v>6.34</v>
      </c>
      <c r="AR112" s="239">
        <v>6.54</v>
      </c>
      <c r="AS112" s="237">
        <v>2.72</v>
      </c>
      <c r="AT112" s="241">
        <v>2.53</v>
      </c>
      <c r="AU112" s="241">
        <v>2.7</v>
      </c>
      <c r="AV112" s="241">
        <v>2.63</v>
      </c>
      <c r="AW112" s="241">
        <v>2.74</v>
      </c>
      <c r="AX112" s="241">
        <v>2.65</v>
      </c>
      <c r="AY112" s="241">
        <v>2.71</v>
      </c>
      <c r="AZ112" s="241">
        <v>2.49</v>
      </c>
      <c r="BA112" s="238">
        <v>2.69</v>
      </c>
      <c r="BB112" s="239">
        <v>2.58</v>
      </c>
      <c r="BC112" s="237">
        <f t="shared" si="77"/>
        <v>2.426470588235294</v>
      </c>
      <c r="BD112" s="238">
        <f t="shared" si="78"/>
        <v>2.5612648221343877</v>
      </c>
      <c r="BE112" s="238">
        <f t="shared" si="79"/>
        <v>2.2666666666666666</v>
      </c>
      <c r="BF112" s="238">
        <f t="shared" si="80"/>
        <v>2.4904942965779466</v>
      </c>
      <c r="BG112" s="238">
        <f t="shared" si="81"/>
        <v>2.448905109489051</v>
      </c>
      <c r="BH112" s="238">
        <f t="shared" si="82"/>
        <v>2.5056603773584905</v>
      </c>
      <c r="BI112" s="238">
        <f t="shared" si="83"/>
        <v>2.357933579335793</v>
      </c>
      <c r="BJ112" s="238">
        <f t="shared" si="84"/>
        <v>2.6104417670682727</v>
      </c>
      <c r="BK112" s="238">
        <f t="shared" si="85"/>
        <v>2.356877323420074</v>
      </c>
      <c r="BL112" s="238">
        <f t="shared" si="86"/>
        <v>2.5348837209302326</v>
      </c>
      <c r="BM112" s="373">
        <v>28.94</v>
      </c>
      <c r="BN112" s="373">
        <v>20.78</v>
      </c>
      <c r="BO112" s="374">
        <f t="shared" si="66"/>
        <v>0.7180373185901866</v>
      </c>
      <c r="BP112" s="373">
        <v>20.22</v>
      </c>
      <c r="BQ112" s="242">
        <f t="shared" si="65"/>
        <v>0.6986869384934347</v>
      </c>
      <c r="BS112" s="234"/>
    </row>
    <row r="113" spans="1:71" ht="15">
      <c r="A113" s="197">
        <v>1699</v>
      </c>
      <c r="B113" s="243" t="s">
        <v>233</v>
      </c>
      <c r="C113" s="236">
        <v>3</v>
      </c>
      <c r="D113" s="237">
        <v>7.3</v>
      </c>
      <c r="E113" s="238">
        <v>7.41</v>
      </c>
      <c r="F113" s="238">
        <v>7.44</v>
      </c>
      <c r="G113" s="238">
        <v>7.53</v>
      </c>
      <c r="H113" s="238">
        <v>7.67</v>
      </c>
      <c r="I113" s="238">
        <v>7.98</v>
      </c>
      <c r="J113" s="238">
        <v>7.77</v>
      </c>
      <c r="K113" s="238">
        <v>8.5</v>
      </c>
      <c r="L113" s="238">
        <v>7.32</v>
      </c>
      <c r="M113" s="239">
        <v>7.62</v>
      </c>
      <c r="N113" s="237">
        <v>3.57</v>
      </c>
      <c r="O113" s="238">
        <v>3.48</v>
      </c>
      <c r="P113" s="238">
        <v>3.51</v>
      </c>
      <c r="Q113" s="238">
        <v>3.58</v>
      </c>
      <c r="R113" s="238">
        <v>3.49</v>
      </c>
      <c r="S113" s="238">
        <v>3.5</v>
      </c>
      <c r="T113" s="238">
        <v>3.42</v>
      </c>
      <c r="U113" s="238">
        <v>3.32</v>
      </c>
      <c r="V113" s="238">
        <v>3.3</v>
      </c>
      <c r="W113" s="239">
        <v>3.5</v>
      </c>
      <c r="X113" s="237">
        <f t="shared" si="87"/>
        <v>2.044817927170868</v>
      </c>
      <c r="Y113" s="238">
        <f t="shared" si="88"/>
        <v>2.1293103448275863</v>
      </c>
      <c r="Z113" s="238">
        <f t="shared" si="89"/>
        <v>2.1196581196581197</v>
      </c>
      <c r="AA113" s="238">
        <f t="shared" si="90"/>
        <v>2.1033519553072626</v>
      </c>
      <c r="AB113" s="238">
        <f t="shared" si="91"/>
        <v>2.1977077363896846</v>
      </c>
      <c r="AC113" s="238">
        <f t="shared" si="92"/>
        <v>2.2800000000000002</v>
      </c>
      <c r="AD113" s="238">
        <f t="shared" si="93"/>
        <v>2.2719298245614032</v>
      </c>
      <c r="AE113" s="238">
        <f t="shared" si="94"/>
        <v>2.560240963855422</v>
      </c>
      <c r="AF113" s="238">
        <f t="shared" si="95"/>
        <v>2.2181818181818183</v>
      </c>
      <c r="AG113" s="239">
        <f t="shared" si="96"/>
        <v>2.177142857142857</v>
      </c>
      <c r="AH113" s="243" t="s">
        <v>234</v>
      </c>
      <c r="AI113" s="237">
        <v>6.48</v>
      </c>
      <c r="AJ113" s="241">
        <v>4.96</v>
      </c>
      <c r="AK113" s="241">
        <v>4.92</v>
      </c>
      <c r="AL113" s="241">
        <v>5.06</v>
      </c>
      <c r="AM113" s="241">
        <v>5.06</v>
      </c>
      <c r="AN113" s="241">
        <v>5.23</v>
      </c>
      <c r="AO113" s="241">
        <v>4.86</v>
      </c>
      <c r="AP113" s="241">
        <v>5.06</v>
      </c>
      <c r="AQ113" s="238">
        <v>5.28</v>
      </c>
      <c r="AR113" s="239">
        <v>5.38</v>
      </c>
      <c r="AS113" s="237">
        <v>2.92</v>
      </c>
      <c r="AT113" s="241">
        <v>3.07</v>
      </c>
      <c r="AU113" s="241">
        <v>3.12</v>
      </c>
      <c r="AV113" s="241">
        <v>3.03</v>
      </c>
      <c r="AW113" s="241">
        <v>3.17</v>
      </c>
      <c r="AX113" s="241">
        <v>3.15</v>
      </c>
      <c r="AY113" s="241">
        <v>2.98</v>
      </c>
      <c r="AZ113" s="241">
        <v>3.04</v>
      </c>
      <c r="BA113" s="238">
        <v>3.09</v>
      </c>
      <c r="BB113" s="239">
        <v>2.95</v>
      </c>
      <c r="BC113" s="237">
        <f t="shared" si="77"/>
        <v>2.219178082191781</v>
      </c>
      <c r="BD113" s="238">
        <f t="shared" si="78"/>
        <v>1.6156351791530945</v>
      </c>
      <c r="BE113" s="238">
        <f t="shared" si="79"/>
        <v>1.5769230769230769</v>
      </c>
      <c r="BF113" s="238">
        <f t="shared" si="80"/>
        <v>1.66996699669967</v>
      </c>
      <c r="BG113" s="238">
        <f t="shared" si="81"/>
        <v>1.5962145110410093</v>
      </c>
      <c r="BH113" s="238">
        <f t="shared" si="82"/>
        <v>1.6603174603174604</v>
      </c>
      <c r="BI113" s="238">
        <f t="shared" si="83"/>
        <v>1.6308724832214767</v>
      </c>
      <c r="BJ113" s="238">
        <f t="shared" si="84"/>
        <v>1.664473684210526</v>
      </c>
      <c r="BK113" s="238">
        <f t="shared" si="85"/>
        <v>1.70873786407767</v>
      </c>
      <c r="BL113" s="238">
        <f t="shared" si="86"/>
        <v>1.823728813559322</v>
      </c>
      <c r="BM113" s="373">
        <v>29.83</v>
      </c>
      <c r="BN113" s="373">
        <v>21.5</v>
      </c>
      <c r="BO113" s="374">
        <f t="shared" si="66"/>
        <v>0.7207509218907141</v>
      </c>
      <c r="BP113" s="373">
        <v>20.95</v>
      </c>
      <c r="BQ113" s="242">
        <f t="shared" si="65"/>
        <v>0.7023131076097888</v>
      </c>
      <c r="BS113" s="234"/>
    </row>
    <row r="114" spans="1:71" ht="15">
      <c r="A114" s="197">
        <v>1700</v>
      </c>
      <c r="B114" s="243" t="s">
        <v>235</v>
      </c>
      <c r="C114" s="236">
        <v>3</v>
      </c>
      <c r="D114" s="237">
        <v>9.8</v>
      </c>
      <c r="E114" s="238">
        <v>10.08</v>
      </c>
      <c r="F114" s="238">
        <v>10.1</v>
      </c>
      <c r="G114" s="238">
        <v>9.57</v>
      </c>
      <c r="H114" s="238">
        <v>10.12</v>
      </c>
      <c r="I114" s="238">
        <v>9.67</v>
      </c>
      <c r="J114" s="238">
        <v>9.96</v>
      </c>
      <c r="K114" s="238">
        <v>10.03</v>
      </c>
      <c r="L114" s="238">
        <v>9.36</v>
      </c>
      <c r="M114" s="239">
        <v>9.38</v>
      </c>
      <c r="N114" s="237">
        <v>2.46</v>
      </c>
      <c r="O114" s="238">
        <v>2.38</v>
      </c>
      <c r="P114" s="238">
        <v>2.43</v>
      </c>
      <c r="Q114" s="238">
        <v>2.46</v>
      </c>
      <c r="R114" s="238">
        <v>2.47</v>
      </c>
      <c r="S114" s="238">
        <v>2.46</v>
      </c>
      <c r="T114" s="238">
        <v>2.39</v>
      </c>
      <c r="U114" s="238">
        <v>2.68</v>
      </c>
      <c r="V114" s="238">
        <v>2.45</v>
      </c>
      <c r="W114" s="239">
        <v>2.33</v>
      </c>
      <c r="X114" s="237">
        <f t="shared" si="87"/>
        <v>3.983739837398374</v>
      </c>
      <c r="Y114" s="238">
        <f t="shared" si="88"/>
        <v>4.235294117647059</v>
      </c>
      <c r="Z114" s="238">
        <f t="shared" si="89"/>
        <v>4.156378600823045</v>
      </c>
      <c r="AA114" s="238">
        <f t="shared" si="90"/>
        <v>3.8902439024390247</v>
      </c>
      <c r="AB114" s="238">
        <f t="shared" si="91"/>
        <v>4.097165991902833</v>
      </c>
      <c r="AC114" s="238">
        <f t="shared" si="92"/>
        <v>3.9308943089430897</v>
      </c>
      <c r="AD114" s="238">
        <f t="shared" si="93"/>
        <v>4.167364016736402</v>
      </c>
      <c r="AE114" s="238">
        <f t="shared" si="94"/>
        <v>3.7425373134328352</v>
      </c>
      <c r="AF114" s="238">
        <f t="shared" si="95"/>
        <v>3.8204081632653057</v>
      </c>
      <c r="AG114" s="239">
        <f t="shared" si="96"/>
        <v>4.0257510729613735</v>
      </c>
      <c r="AH114" s="243" t="s">
        <v>235</v>
      </c>
      <c r="AI114" s="237">
        <v>7.78</v>
      </c>
      <c r="AJ114" s="241">
        <v>7.03</v>
      </c>
      <c r="AK114" s="241">
        <v>7.28</v>
      </c>
      <c r="AL114" s="241">
        <v>7.41</v>
      </c>
      <c r="AM114" s="241">
        <v>6.99</v>
      </c>
      <c r="AN114" s="241">
        <v>7.33</v>
      </c>
      <c r="AO114" s="241">
        <v>7.19</v>
      </c>
      <c r="AP114" s="241">
        <v>7.18</v>
      </c>
      <c r="AQ114" s="238">
        <v>7.51</v>
      </c>
      <c r="AR114" s="239">
        <v>7.37</v>
      </c>
      <c r="AS114" s="237">
        <v>2.17</v>
      </c>
      <c r="AT114" s="241">
        <v>2.21</v>
      </c>
      <c r="AU114" s="241">
        <v>2.15</v>
      </c>
      <c r="AV114" s="241">
        <v>2.16</v>
      </c>
      <c r="AW114" s="241">
        <v>2.08</v>
      </c>
      <c r="AX114" s="241">
        <v>2.22</v>
      </c>
      <c r="AY114" s="241">
        <v>2.17</v>
      </c>
      <c r="AZ114" s="241">
        <v>1.99</v>
      </c>
      <c r="BA114" s="238">
        <v>2.19</v>
      </c>
      <c r="BB114" s="239">
        <v>2.15</v>
      </c>
      <c r="BC114" s="237">
        <f t="shared" si="77"/>
        <v>3.5852534562211984</v>
      </c>
      <c r="BD114" s="238">
        <f t="shared" si="78"/>
        <v>3.1809954751131224</v>
      </c>
      <c r="BE114" s="238">
        <f t="shared" si="79"/>
        <v>3.386046511627907</v>
      </c>
      <c r="BF114" s="238">
        <f t="shared" si="80"/>
        <v>3.4305555555555554</v>
      </c>
      <c r="BG114" s="238">
        <f t="shared" si="81"/>
        <v>3.360576923076923</v>
      </c>
      <c r="BH114" s="238">
        <f t="shared" si="82"/>
        <v>3.3018018018018016</v>
      </c>
      <c r="BI114" s="238">
        <f t="shared" si="83"/>
        <v>3.3133640552995396</v>
      </c>
      <c r="BJ114" s="238">
        <f t="shared" si="84"/>
        <v>3.608040201005025</v>
      </c>
      <c r="BK114" s="238">
        <f t="shared" si="85"/>
        <v>3.4292237442922375</v>
      </c>
      <c r="BL114" s="238">
        <f t="shared" si="86"/>
        <v>3.427906976744186</v>
      </c>
      <c r="BM114" s="373">
        <v>23.63</v>
      </c>
      <c r="BN114" s="373">
        <v>16.84</v>
      </c>
      <c r="BO114" s="374">
        <f t="shared" si="66"/>
        <v>0.7126534066864156</v>
      </c>
      <c r="BP114" s="373">
        <v>15.54</v>
      </c>
      <c r="BQ114" s="242">
        <f t="shared" si="65"/>
        <v>0.6576385950063478</v>
      </c>
      <c r="BS114" s="234"/>
    </row>
    <row r="115" spans="1:71" ht="15">
      <c r="A115" s="197">
        <v>1701</v>
      </c>
      <c r="B115" s="243" t="s">
        <v>236</v>
      </c>
      <c r="C115" s="236">
        <v>3</v>
      </c>
      <c r="D115" s="237">
        <v>8.87</v>
      </c>
      <c r="E115" s="238">
        <v>8.45</v>
      </c>
      <c r="F115" s="238">
        <v>8.97</v>
      </c>
      <c r="G115" s="238">
        <v>8.62</v>
      </c>
      <c r="H115" s="238">
        <v>7.97</v>
      </c>
      <c r="I115" s="238">
        <v>8.01</v>
      </c>
      <c r="J115" s="238">
        <v>7.23</v>
      </c>
      <c r="K115" s="238">
        <v>7.44</v>
      </c>
      <c r="L115" s="238">
        <v>8.34</v>
      </c>
      <c r="M115" s="239">
        <v>7.7</v>
      </c>
      <c r="N115" s="237">
        <v>3.8</v>
      </c>
      <c r="O115" s="238">
        <v>3.66</v>
      </c>
      <c r="P115" s="238">
        <v>3.74</v>
      </c>
      <c r="Q115" s="238">
        <v>3.75</v>
      </c>
      <c r="R115" s="238">
        <v>3.65</v>
      </c>
      <c r="S115" s="238">
        <v>3.42</v>
      </c>
      <c r="T115" s="238">
        <v>3.49</v>
      </c>
      <c r="U115" s="238">
        <v>3.45</v>
      </c>
      <c r="V115" s="238">
        <v>3.73</v>
      </c>
      <c r="W115" s="239">
        <v>3.39</v>
      </c>
      <c r="X115" s="237">
        <f t="shared" si="87"/>
        <v>2.3342105263157893</v>
      </c>
      <c r="Y115" s="238">
        <f t="shared" si="88"/>
        <v>2.3087431693989067</v>
      </c>
      <c r="Z115" s="238">
        <f t="shared" si="89"/>
        <v>2.3983957219251337</v>
      </c>
      <c r="AA115" s="238">
        <f t="shared" si="90"/>
        <v>2.2986666666666666</v>
      </c>
      <c r="AB115" s="238">
        <f t="shared" si="91"/>
        <v>2.1835616438356165</v>
      </c>
      <c r="AC115" s="238">
        <f t="shared" si="92"/>
        <v>2.3421052631578947</v>
      </c>
      <c r="AD115" s="238">
        <f t="shared" si="93"/>
        <v>2.0716332378223496</v>
      </c>
      <c r="AE115" s="238">
        <f t="shared" si="94"/>
        <v>2.1565217391304348</v>
      </c>
      <c r="AF115" s="238">
        <f t="shared" si="95"/>
        <v>2.2359249329758715</v>
      </c>
      <c r="AG115" s="239">
        <f t="shared" si="96"/>
        <v>2.271386430678466</v>
      </c>
      <c r="AH115" s="243" t="s">
        <v>236</v>
      </c>
      <c r="AI115" s="237">
        <v>6.07</v>
      </c>
      <c r="AJ115" s="241">
        <v>6.38</v>
      </c>
      <c r="AK115" s="241">
        <v>6.21</v>
      </c>
      <c r="AL115" s="241">
        <v>6.25</v>
      </c>
      <c r="AM115" s="241">
        <v>6.18</v>
      </c>
      <c r="AN115" s="241">
        <v>6.17</v>
      </c>
      <c r="AO115" s="241">
        <v>6.45</v>
      </c>
      <c r="AP115" s="241">
        <v>5.75</v>
      </c>
      <c r="AQ115" s="238">
        <v>5.73</v>
      </c>
      <c r="AR115" s="239">
        <v>5.79</v>
      </c>
      <c r="AS115" s="237">
        <v>3.23</v>
      </c>
      <c r="AT115" s="241">
        <v>3.29</v>
      </c>
      <c r="AU115" s="241">
        <v>3.18</v>
      </c>
      <c r="AV115" s="241">
        <v>3.3</v>
      </c>
      <c r="AW115" s="241">
        <v>3.16</v>
      </c>
      <c r="AX115" s="241">
        <v>3.28</v>
      </c>
      <c r="AY115" s="241">
        <v>3.18</v>
      </c>
      <c r="AZ115" s="241">
        <v>3.15</v>
      </c>
      <c r="BA115" s="238">
        <v>3.24</v>
      </c>
      <c r="BB115" s="239">
        <v>3.19</v>
      </c>
      <c r="BC115" s="237">
        <f t="shared" si="77"/>
        <v>1.8792569659442726</v>
      </c>
      <c r="BD115" s="238">
        <f t="shared" si="78"/>
        <v>1.9392097264437689</v>
      </c>
      <c r="BE115" s="238">
        <f t="shared" si="79"/>
        <v>1.9528301886792452</v>
      </c>
      <c r="BF115" s="238">
        <f t="shared" si="80"/>
        <v>1.893939393939394</v>
      </c>
      <c r="BG115" s="238">
        <f t="shared" si="81"/>
        <v>1.9556962025316453</v>
      </c>
      <c r="BH115" s="238">
        <f t="shared" si="82"/>
        <v>1.8810975609756098</v>
      </c>
      <c r="BI115" s="238">
        <f t="shared" si="83"/>
        <v>2.0283018867924527</v>
      </c>
      <c r="BJ115" s="238">
        <f t="shared" si="84"/>
        <v>1.8253968253968254</v>
      </c>
      <c r="BK115" s="238">
        <f t="shared" si="85"/>
        <v>1.7685185185185186</v>
      </c>
      <c r="BL115" s="238">
        <f t="shared" si="86"/>
        <v>1.8150470219435737</v>
      </c>
      <c r="BM115" s="373">
        <v>31.96</v>
      </c>
      <c r="BN115" s="373">
        <v>22.34</v>
      </c>
      <c r="BO115" s="374">
        <f t="shared" si="66"/>
        <v>0.6989987484355444</v>
      </c>
      <c r="BP115" s="373">
        <v>21.61</v>
      </c>
      <c r="BQ115" s="242">
        <f t="shared" si="65"/>
        <v>0.6761576971214017</v>
      </c>
      <c r="BS115" s="234"/>
    </row>
    <row r="116" spans="1:71" ht="15">
      <c r="A116" s="197">
        <v>1702</v>
      </c>
      <c r="B116" s="243" t="s">
        <v>237</v>
      </c>
      <c r="C116" s="236">
        <v>3</v>
      </c>
      <c r="D116" s="237">
        <v>10.17</v>
      </c>
      <c r="E116" s="238">
        <v>9.54</v>
      </c>
      <c r="F116" s="238">
        <v>9.86</v>
      </c>
      <c r="G116" s="238">
        <v>9.8</v>
      </c>
      <c r="H116" s="238">
        <v>10.28</v>
      </c>
      <c r="I116" s="238">
        <v>10.48</v>
      </c>
      <c r="J116" s="238">
        <v>9.1</v>
      </c>
      <c r="K116" s="238">
        <v>9.27</v>
      </c>
      <c r="L116" s="238">
        <v>10.64</v>
      </c>
      <c r="M116" s="239">
        <v>10.02</v>
      </c>
      <c r="N116" s="237">
        <v>3.11</v>
      </c>
      <c r="O116" s="238">
        <v>3.23</v>
      </c>
      <c r="P116" s="238">
        <v>3.13</v>
      </c>
      <c r="Q116" s="238">
        <v>3.12</v>
      </c>
      <c r="R116" s="238">
        <v>3.18</v>
      </c>
      <c r="S116" s="238">
        <v>3.15</v>
      </c>
      <c r="T116" s="238">
        <v>2.95</v>
      </c>
      <c r="U116" s="238">
        <v>3.29</v>
      </c>
      <c r="V116" s="238">
        <v>3.21</v>
      </c>
      <c r="W116" s="239">
        <v>3.38</v>
      </c>
      <c r="X116" s="237">
        <f t="shared" si="87"/>
        <v>3.270096463022508</v>
      </c>
      <c r="Y116" s="238">
        <f t="shared" si="88"/>
        <v>2.9535603715170278</v>
      </c>
      <c r="Z116" s="238">
        <f t="shared" si="89"/>
        <v>3.1501597444089455</v>
      </c>
      <c r="AA116" s="238">
        <f t="shared" si="90"/>
        <v>3.141025641025641</v>
      </c>
      <c r="AB116" s="238">
        <f t="shared" si="91"/>
        <v>3.232704402515723</v>
      </c>
      <c r="AC116" s="238">
        <f t="shared" si="92"/>
        <v>3.326984126984127</v>
      </c>
      <c r="AD116" s="238">
        <f t="shared" si="93"/>
        <v>3.084745762711864</v>
      </c>
      <c r="AE116" s="238">
        <f t="shared" si="94"/>
        <v>2.817629179331307</v>
      </c>
      <c r="AF116" s="238">
        <f t="shared" si="95"/>
        <v>3.314641744548287</v>
      </c>
      <c r="AG116" s="239">
        <f t="shared" si="96"/>
        <v>2.964497041420118</v>
      </c>
      <c r="AH116" s="243" t="s">
        <v>237</v>
      </c>
      <c r="AI116" s="237">
        <v>6.49</v>
      </c>
      <c r="AJ116" s="241">
        <v>6.69</v>
      </c>
      <c r="AK116" s="241">
        <v>7.16</v>
      </c>
      <c r="AL116" s="241">
        <v>6.88</v>
      </c>
      <c r="AM116" s="241">
        <v>7.33</v>
      </c>
      <c r="AN116" s="241">
        <v>7</v>
      </c>
      <c r="AO116" s="241">
        <v>7</v>
      </c>
      <c r="AP116" s="241">
        <v>7.23</v>
      </c>
      <c r="AQ116" s="238">
        <v>6.93</v>
      </c>
      <c r="AR116" s="239">
        <v>7.39</v>
      </c>
      <c r="AS116" s="237">
        <v>2.38</v>
      </c>
      <c r="AT116" s="241">
        <v>2.57</v>
      </c>
      <c r="AU116" s="241">
        <v>2.62</v>
      </c>
      <c r="AV116" s="241">
        <v>2.62</v>
      </c>
      <c r="AW116" s="241">
        <v>2.76</v>
      </c>
      <c r="AX116" s="241">
        <v>2.69</v>
      </c>
      <c r="AY116" s="241">
        <v>2.6</v>
      </c>
      <c r="AZ116" s="241">
        <v>2.67</v>
      </c>
      <c r="BA116" s="238">
        <v>2.7</v>
      </c>
      <c r="BB116" s="239">
        <v>2.74</v>
      </c>
      <c r="BC116" s="237">
        <f t="shared" si="77"/>
        <v>2.726890756302521</v>
      </c>
      <c r="BD116" s="238">
        <f t="shared" si="78"/>
        <v>2.6031128404669266</v>
      </c>
      <c r="BE116" s="238">
        <f t="shared" si="79"/>
        <v>2.732824427480916</v>
      </c>
      <c r="BF116" s="238">
        <f t="shared" si="80"/>
        <v>2.6259541984732824</v>
      </c>
      <c r="BG116" s="238">
        <f t="shared" si="81"/>
        <v>2.6557971014492754</v>
      </c>
      <c r="BH116" s="238">
        <f t="shared" si="82"/>
        <v>2.6022304832713754</v>
      </c>
      <c r="BI116" s="238">
        <f t="shared" si="83"/>
        <v>2.692307692307692</v>
      </c>
      <c r="BJ116" s="238">
        <f t="shared" si="84"/>
        <v>2.707865168539326</v>
      </c>
      <c r="BK116" s="238">
        <f t="shared" si="85"/>
        <v>2.5666666666666664</v>
      </c>
      <c r="BL116" s="238">
        <f t="shared" si="86"/>
        <v>2.697080291970803</v>
      </c>
      <c r="BM116" s="373">
        <v>27.75</v>
      </c>
      <c r="BN116" s="373">
        <v>19.54</v>
      </c>
      <c r="BO116" s="374">
        <f t="shared" si="66"/>
        <v>0.7041441441441442</v>
      </c>
      <c r="BP116" s="373">
        <v>19.22</v>
      </c>
      <c r="BQ116" s="242">
        <f t="shared" si="65"/>
        <v>0.6926126126126125</v>
      </c>
      <c r="BS116" s="234"/>
    </row>
    <row r="117" spans="1:71" ht="15">
      <c r="A117" s="197">
        <v>1703</v>
      </c>
      <c r="B117" s="243" t="s">
        <v>238</v>
      </c>
      <c r="C117" s="236">
        <v>3</v>
      </c>
      <c r="D117" s="237">
        <v>9.25</v>
      </c>
      <c r="E117" s="238">
        <v>9.14</v>
      </c>
      <c r="F117" s="238">
        <v>9.28</v>
      </c>
      <c r="G117" s="238">
        <v>9.1</v>
      </c>
      <c r="H117" s="238">
        <v>9.33</v>
      </c>
      <c r="I117" s="238">
        <v>9.03</v>
      </c>
      <c r="J117" s="238">
        <v>9.53</v>
      </c>
      <c r="K117" s="238">
        <v>8.89</v>
      </c>
      <c r="L117" s="238">
        <v>9.11</v>
      </c>
      <c r="M117" s="239">
        <v>8.88</v>
      </c>
      <c r="N117" s="237">
        <v>2.43</v>
      </c>
      <c r="O117" s="238">
        <v>2.32</v>
      </c>
      <c r="P117" s="238">
        <v>2.39</v>
      </c>
      <c r="Q117" s="238">
        <v>2.42</v>
      </c>
      <c r="R117" s="238">
        <v>2.37</v>
      </c>
      <c r="S117" s="238">
        <v>2.37</v>
      </c>
      <c r="T117" s="238">
        <v>2.37</v>
      </c>
      <c r="U117" s="238">
        <v>2.36</v>
      </c>
      <c r="V117" s="238">
        <v>2.3</v>
      </c>
      <c r="W117" s="239">
        <v>2.47</v>
      </c>
      <c r="X117" s="237">
        <f t="shared" si="87"/>
        <v>3.8065843621399176</v>
      </c>
      <c r="Y117" s="238">
        <f t="shared" si="88"/>
        <v>3.9396551724137936</v>
      </c>
      <c r="Z117" s="238">
        <f t="shared" si="89"/>
        <v>3.8828451882845183</v>
      </c>
      <c r="AA117" s="238">
        <f t="shared" si="90"/>
        <v>3.760330578512397</v>
      </c>
      <c r="AB117" s="238">
        <f t="shared" si="91"/>
        <v>3.9367088607594933</v>
      </c>
      <c r="AC117" s="238">
        <f t="shared" si="92"/>
        <v>3.8101265822784804</v>
      </c>
      <c r="AD117" s="238">
        <f t="shared" si="93"/>
        <v>4.021097046413502</v>
      </c>
      <c r="AE117" s="238">
        <f t="shared" si="94"/>
        <v>3.7669491525423733</v>
      </c>
      <c r="AF117" s="238">
        <f t="shared" si="95"/>
        <v>3.9608695652173913</v>
      </c>
      <c r="AG117" s="239">
        <f t="shared" si="96"/>
        <v>3.5951417004048585</v>
      </c>
      <c r="AH117" s="243" t="s">
        <v>238</v>
      </c>
      <c r="AI117" s="237">
        <v>6.59</v>
      </c>
      <c r="AJ117" s="241">
        <v>6.76</v>
      </c>
      <c r="AK117" s="241">
        <v>6.52</v>
      </c>
      <c r="AL117" s="241">
        <v>6.23</v>
      </c>
      <c r="AM117" s="241">
        <v>6.77</v>
      </c>
      <c r="AN117" s="241">
        <v>7.23</v>
      </c>
      <c r="AO117" s="241">
        <v>7.04</v>
      </c>
      <c r="AP117" s="241">
        <v>7.15</v>
      </c>
      <c r="AQ117" s="238">
        <v>7.1</v>
      </c>
      <c r="AR117" s="239">
        <v>7.35</v>
      </c>
      <c r="AS117" s="237">
        <v>2.07</v>
      </c>
      <c r="AT117" s="241">
        <v>2.23</v>
      </c>
      <c r="AU117" s="241">
        <v>2.13</v>
      </c>
      <c r="AV117" s="241">
        <v>1.98</v>
      </c>
      <c r="AW117" s="241">
        <v>1.97</v>
      </c>
      <c r="AX117" s="241">
        <v>2.09</v>
      </c>
      <c r="AY117" s="241">
        <v>2.09</v>
      </c>
      <c r="AZ117" s="241">
        <v>2.12</v>
      </c>
      <c r="BA117" s="238">
        <v>2.12</v>
      </c>
      <c r="BB117" s="239">
        <v>2.17</v>
      </c>
      <c r="BC117" s="237">
        <f t="shared" si="77"/>
        <v>3.1835748792270535</v>
      </c>
      <c r="BD117" s="238">
        <f t="shared" si="78"/>
        <v>3.031390134529148</v>
      </c>
      <c r="BE117" s="238">
        <f t="shared" si="79"/>
        <v>3.061032863849765</v>
      </c>
      <c r="BF117" s="238">
        <f t="shared" si="80"/>
        <v>3.1464646464646466</v>
      </c>
      <c r="BG117" s="238">
        <f t="shared" si="81"/>
        <v>3.4365482233502536</v>
      </c>
      <c r="BH117" s="238">
        <f t="shared" si="82"/>
        <v>3.4593301435406705</v>
      </c>
      <c r="BI117" s="238">
        <f t="shared" si="83"/>
        <v>3.368421052631579</v>
      </c>
      <c r="BJ117" s="238">
        <f t="shared" si="84"/>
        <v>3.3726415094339623</v>
      </c>
      <c r="BK117" s="238">
        <f t="shared" si="85"/>
        <v>3.3490566037735845</v>
      </c>
      <c r="BL117" s="238">
        <f t="shared" si="86"/>
        <v>3.3870967741935485</v>
      </c>
      <c r="BM117" s="373">
        <v>22.31</v>
      </c>
      <c r="BN117" s="373">
        <v>15.9</v>
      </c>
      <c r="BO117" s="374">
        <f t="shared" si="66"/>
        <v>0.7126848946660691</v>
      </c>
      <c r="BP117" s="373">
        <v>14.7</v>
      </c>
      <c r="BQ117" s="242">
        <f t="shared" si="65"/>
        <v>0.6588973554459884</v>
      </c>
      <c r="BS117" s="234"/>
    </row>
    <row r="118" spans="1:71" ht="15">
      <c r="A118" s="198">
        <v>1704</v>
      </c>
      <c r="B118" s="243" t="s">
        <v>239</v>
      </c>
      <c r="C118" s="236">
        <v>3</v>
      </c>
      <c r="D118" s="237">
        <v>8.1</v>
      </c>
      <c r="E118" s="238">
        <v>8.42</v>
      </c>
      <c r="F118" s="238">
        <v>7.88</v>
      </c>
      <c r="G118" s="238">
        <v>8.88</v>
      </c>
      <c r="H118" s="238">
        <v>8.3</v>
      </c>
      <c r="I118" s="238">
        <v>8.72</v>
      </c>
      <c r="J118" s="238">
        <v>8.36</v>
      </c>
      <c r="K118" s="238">
        <v>7.65</v>
      </c>
      <c r="L118" s="238">
        <v>8.73</v>
      </c>
      <c r="M118" s="239">
        <v>7.84</v>
      </c>
      <c r="N118" s="237">
        <v>3.37</v>
      </c>
      <c r="O118" s="238">
        <v>3.45</v>
      </c>
      <c r="P118" s="238">
        <v>3.2</v>
      </c>
      <c r="Q118" s="238">
        <v>3.66</v>
      </c>
      <c r="R118" s="238">
        <v>3.31</v>
      </c>
      <c r="S118" s="238">
        <v>3.16</v>
      </c>
      <c r="T118" s="238">
        <v>3.32</v>
      </c>
      <c r="U118" s="238">
        <v>3.22</v>
      </c>
      <c r="V118" s="238">
        <v>3.41</v>
      </c>
      <c r="W118" s="239">
        <v>3.31</v>
      </c>
      <c r="X118" s="237">
        <f t="shared" si="87"/>
        <v>2.403560830860534</v>
      </c>
      <c r="Y118" s="238">
        <f t="shared" si="88"/>
        <v>2.4405797101449274</v>
      </c>
      <c r="Z118" s="238">
        <f t="shared" si="89"/>
        <v>2.4625</v>
      </c>
      <c r="AA118" s="238">
        <f t="shared" si="90"/>
        <v>2.4262295081967213</v>
      </c>
      <c r="AB118" s="238">
        <f t="shared" si="91"/>
        <v>2.5075528700906347</v>
      </c>
      <c r="AC118" s="238">
        <f t="shared" si="92"/>
        <v>2.759493670886076</v>
      </c>
      <c r="AD118" s="238">
        <f t="shared" si="93"/>
        <v>2.5180722891566263</v>
      </c>
      <c r="AE118" s="238">
        <f t="shared" si="94"/>
        <v>2.3757763975155277</v>
      </c>
      <c r="AF118" s="238">
        <f t="shared" si="95"/>
        <v>2.560117302052786</v>
      </c>
      <c r="AG118" s="239">
        <f t="shared" si="96"/>
        <v>2.3685800604229605</v>
      </c>
      <c r="AH118" s="243" t="s">
        <v>239</v>
      </c>
      <c r="AI118" s="237">
        <v>5.57</v>
      </c>
      <c r="AJ118" s="241">
        <v>5.54</v>
      </c>
      <c r="AK118" s="241">
        <v>5.44</v>
      </c>
      <c r="AL118" s="241">
        <v>5.68</v>
      </c>
      <c r="AM118" s="241">
        <v>5.64</v>
      </c>
      <c r="AN118" s="241">
        <v>5.76</v>
      </c>
      <c r="AO118" s="241">
        <v>5.95</v>
      </c>
      <c r="AP118" s="241">
        <v>5.44</v>
      </c>
      <c r="AQ118" s="238">
        <v>5.33</v>
      </c>
      <c r="AR118" s="239">
        <v>5.67</v>
      </c>
      <c r="AS118" s="237">
        <v>2.78</v>
      </c>
      <c r="AT118" s="241">
        <v>2.95</v>
      </c>
      <c r="AU118" s="241">
        <v>2.9</v>
      </c>
      <c r="AV118" s="241">
        <v>2.68</v>
      </c>
      <c r="AW118" s="241">
        <v>2.83</v>
      </c>
      <c r="AX118" s="241">
        <v>2.85</v>
      </c>
      <c r="AY118" s="241">
        <v>2.87</v>
      </c>
      <c r="AZ118" s="241">
        <v>2.79</v>
      </c>
      <c r="BA118" s="238">
        <v>2.87</v>
      </c>
      <c r="BB118" s="239">
        <v>2.88</v>
      </c>
      <c r="BC118" s="237">
        <f t="shared" si="77"/>
        <v>2.0035971223021587</v>
      </c>
      <c r="BD118" s="238">
        <f t="shared" si="78"/>
        <v>1.8779661016949152</v>
      </c>
      <c r="BE118" s="238">
        <f t="shared" si="79"/>
        <v>1.8758620689655174</v>
      </c>
      <c r="BF118" s="238">
        <f t="shared" si="80"/>
        <v>2.1194029850746268</v>
      </c>
      <c r="BG118" s="238">
        <f t="shared" si="81"/>
        <v>1.9929328621908124</v>
      </c>
      <c r="BH118" s="238">
        <f t="shared" si="82"/>
        <v>2.0210526315789474</v>
      </c>
      <c r="BI118" s="238">
        <f t="shared" si="83"/>
        <v>2.073170731707317</v>
      </c>
      <c r="BJ118" s="238">
        <f t="shared" si="84"/>
        <v>1.9498207885304661</v>
      </c>
      <c r="BK118" s="238">
        <f t="shared" si="85"/>
        <v>1.8571428571428572</v>
      </c>
      <c r="BL118" s="238">
        <f t="shared" si="86"/>
        <v>1.96875</v>
      </c>
      <c r="BM118" s="373">
        <v>29.07</v>
      </c>
      <c r="BN118" s="373">
        <v>20.28</v>
      </c>
      <c r="BO118" s="374">
        <f t="shared" si="66"/>
        <v>0.6976264189886481</v>
      </c>
      <c r="BP118" s="373">
        <v>20</v>
      </c>
      <c r="BQ118" s="242">
        <f t="shared" si="65"/>
        <v>0.6879944960440316</v>
      </c>
      <c r="BS118" s="234"/>
    </row>
    <row r="119" spans="1:71" ht="15">
      <c r="A119" s="198">
        <v>1705</v>
      </c>
      <c r="B119" s="243" t="s">
        <v>240</v>
      </c>
      <c r="C119" s="247" t="s">
        <v>255</v>
      </c>
      <c r="D119" s="237">
        <v>9.8</v>
      </c>
      <c r="E119" s="238">
        <v>9.59</v>
      </c>
      <c r="F119" s="238">
        <v>10.04</v>
      </c>
      <c r="G119" s="238">
        <v>9.46</v>
      </c>
      <c r="H119" s="238">
        <v>9.58</v>
      </c>
      <c r="I119" s="238">
        <v>8.96</v>
      </c>
      <c r="J119" s="238">
        <v>9.34</v>
      </c>
      <c r="K119" s="238">
        <v>9.32</v>
      </c>
      <c r="L119" s="238">
        <v>8.86</v>
      </c>
      <c r="M119" s="239">
        <v>9.73</v>
      </c>
      <c r="N119" s="237">
        <v>2.54</v>
      </c>
      <c r="O119" s="238">
        <v>2.54</v>
      </c>
      <c r="P119" s="238">
        <v>2.89</v>
      </c>
      <c r="Q119" s="238">
        <v>2.67</v>
      </c>
      <c r="R119" s="238">
        <v>2.44</v>
      </c>
      <c r="S119" s="238">
        <v>2.57</v>
      </c>
      <c r="T119" s="238">
        <v>2.47</v>
      </c>
      <c r="U119" s="238">
        <v>2.52</v>
      </c>
      <c r="V119" s="238">
        <v>2.51</v>
      </c>
      <c r="W119" s="239">
        <v>2.4</v>
      </c>
      <c r="X119" s="237">
        <f t="shared" si="87"/>
        <v>3.8582677165354333</v>
      </c>
      <c r="Y119" s="238">
        <f t="shared" si="88"/>
        <v>3.7755905511811023</v>
      </c>
      <c r="Z119" s="238">
        <f t="shared" si="89"/>
        <v>3.474048442906574</v>
      </c>
      <c r="AA119" s="238">
        <f t="shared" si="90"/>
        <v>3.5430711610486894</v>
      </c>
      <c r="AB119" s="238">
        <f t="shared" si="91"/>
        <v>3.9262295081967213</v>
      </c>
      <c r="AC119" s="238">
        <f t="shared" si="92"/>
        <v>3.486381322957199</v>
      </c>
      <c r="AD119" s="238">
        <f t="shared" si="93"/>
        <v>3.781376518218623</v>
      </c>
      <c r="AE119" s="238">
        <f t="shared" si="94"/>
        <v>3.6984126984126986</v>
      </c>
      <c r="AF119" s="238">
        <f t="shared" si="95"/>
        <v>3.5298804780876494</v>
      </c>
      <c r="AG119" s="239">
        <f t="shared" si="96"/>
        <v>4.054166666666667</v>
      </c>
      <c r="AH119" s="243" t="s">
        <v>240</v>
      </c>
      <c r="AI119" s="237">
        <v>6.25</v>
      </c>
      <c r="AJ119" s="241">
        <v>6.72</v>
      </c>
      <c r="AK119" s="241">
        <v>5.86</v>
      </c>
      <c r="AL119" s="241">
        <v>5.75</v>
      </c>
      <c r="AM119" s="241">
        <v>6.92</v>
      </c>
      <c r="AN119" s="241">
        <v>6.27</v>
      </c>
      <c r="AO119" s="241">
        <v>6.85</v>
      </c>
      <c r="AP119" s="241">
        <v>5.44</v>
      </c>
      <c r="AQ119" s="238">
        <v>6.61</v>
      </c>
      <c r="AR119" s="239">
        <v>6.52</v>
      </c>
      <c r="AS119" s="237">
        <v>2.01</v>
      </c>
      <c r="AT119" s="241">
        <v>2.02</v>
      </c>
      <c r="AU119" s="241">
        <v>2.03</v>
      </c>
      <c r="AV119" s="241">
        <v>2.01</v>
      </c>
      <c r="AW119" s="241">
        <v>2.06</v>
      </c>
      <c r="AX119" s="241">
        <v>1.93</v>
      </c>
      <c r="AY119" s="241">
        <v>2.09</v>
      </c>
      <c r="AZ119" s="241">
        <v>1.86</v>
      </c>
      <c r="BA119" s="238">
        <v>2.14</v>
      </c>
      <c r="BB119" s="239">
        <v>2</v>
      </c>
      <c r="BC119" s="237">
        <f t="shared" si="77"/>
        <v>3.109452736318408</v>
      </c>
      <c r="BD119" s="238">
        <f t="shared" si="78"/>
        <v>3.3267326732673266</v>
      </c>
      <c r="BE119" s="238">
        <f t="shared" si="79"/>
        <v>2.886699507389163</v>
      </c>
      <c r="BF119" s="238">
        <f t="shared" si="80"/>
        <v>2.8606965174129355</v>
      </c>
      <c r="BG119" s="238">
        <f t="shared" si="81"/>
        <v>3.3592233009708736</v>
      </c>
      <c r="BH119" s="238">
        <f t="shared" si="82"/>
        <v>3.2487046632124352</v>
      </c>
      <c r="BI119" s="238">
        <f t="shared" si="83"/>
        <v>3.277511961722488</v>
      </c>
      <c r="BJ119" s="238">
        <f t="shared" si="84"/>
        <v>2.924731182795699</v>
      </c>
      <c r="BK119" s="238">
        <f t="shared" si="85"/>
        <v>3.088785046728972</v>
      </c>
      <c r="BL119" s="238">
        <f t="shared" si="86"/>
        <v>3.26</v>
      </c>
      <c r="BM119" s="373">
        <v>19.32</v>
      </c>
      <c r="BN119" s="373">
        <v>13.6</v>
      </c>
      <c r="BO119" s="374">
        <f t="shared" si="66"/>
        <v>0.7039337474120082</v>
      </c>
      <c r="BP119" s="373">
        <v>12.46</v>
      </c>
      <c r="BQ119" s="242">
        <f t="shared" si="65"/>
        <v>0.6449275362318841</v>
      </c>
      <c r="BS119" s="234"/>
    </row>
    <row r="120" spans="1:71" ht="15">
      <c r="A120" s="198">
        <v>1706</v>
      </c>
      <c r="B120" s="243" t="s">
        <v>241</v>
      </c>
      <c r="C120" s="236">
        <v>3</v>
      </c>
      <c r="D120" s="237">
        <v>9.8</v>
      </c>
      <c r="E120" s="238">
        <v>10.1</v>
      </c>
      <c r="F120" s="238">
        <v>9.73</v>
      </c>
      <c r="G120" s="238">
        <v>8.97</v>
      </c>
      <c r="H120" s="238">
        <v>9.39</v>
      </c>
      <c r="I120" s="238">
        <v>9.44</v>
      </c>
      <c r="J120" s="238">
        <v>9.01</v>
      </c>
      <c r="K120" s="238">
        <v>10.18</v>
      </c>
      <c r="L120" s="238">
        <v>9.64</v>
      </c>
      <c r="M120" s="239">
        <v>9.49</v>
      </c>
      <c r="N120" s="237">
        <v>2.67</v>
      </c>
      <c r="O120" s="238">
        <v>2.71</v>
      </c>
      <c r="P120" s="238">
        <v>2.82</v>
      </c>
      <c r="Q120" s="238">
        <v>2.74</v>
      </c>
      <c r="R120" s="238">
        <v>2.65</v>
      </c>
      <c r="S120" s="238">
        <v>2.72</v>
      </c>
      <c r="T120" s="238">
        <v>2.59</v>
      </c>
      <c r="U120" s="238">
        <v>2.71</v>
      </c>
      <c r="V120" s="238">
        <v>2.75</v>
      </c>
      <c r="W120" s="239">
        <v>2.77</v>
      </c>
      <c r="X120" s="237">
        <f t="shared" si="87"/>
        <v>3.670411985018727</v>
      </c>
      <c r="Y120" s="238">
        <f t="shared" si="88"/>
        <v>3.7269372693726934</v>
      </c>
      <c r="Z120" s="238">
        <f t="shared" si="89"/>
        <v>3.4503546099290783</v>
      </c>
      <c r="AA120" s="238">
        <f t="shared" si="90"/>
        <v>3.2737226277372264</v>
      </c>
      <c r="AB120" s="238">
        <f t="shared" si="91"/>
        <v>3.5433962264150947</v>
      </c>
      <c r="AC120" s="238">
        <f t="shared" si="92"/>
        <v>3.4705882352941173</v>
      </c>
      <c r="AD120" s="238">
        <f t="shared" si="93"/>
        <v>3.4787644787644787</v>
      </c>
      <c r="AE120" s="238">
        <f t="shared" si="94"/>
        <v>3.7564575645756455</v>
      </c>
      <c r="AF120" s="238">
        <f t="shared" si="95"/>
        <v>3.505454545454546</v>
      </c>
      <c r="AG120" s="239">
        <f t="shared" si="96"/>
        <v>3.4259927797833933</v>
      </c>
      <c r="AH120" s="243" t="s">
        <v>241</v>
      </c>
      <c r="AI120" s="237">
        <v>6.83</v>
      </c>
      <c r="AJ120" s="241">
        <v>6.51</v>
      </c>
      <c r="AK120" s="241">
        <v>6.8</v>
      </c>
      <c r="AL120" s="241">
        <v>6.87</v>
      </c>
      <c r="AM120" s="241">
        <v>7.01</v>
      </c>
      <c r="AN120" s="241">
        <v>6.39</v>
      </c>
      <c r="AO120" s="241">
        <v>7.38</v>
      </c>
      <c r="AP120" s="241">
        <v>7.18</v>
      </c>
      <c r="AQ120" s="238">
        <v>6.73</v>
      </c>
      <c r="AR120" s="239">
        <v>6.73</v>
      </c>
      <c r="AS120" s="237">
        <v>2.26</v>
      </c>
      <c r="AT120" s="241">
        <v>2.19</v>
      </c>
      <c r="AU120" s="241">
        <v>2.28</v>
      </c>
      <c r="AV120" s="241">
        <v>2.3</v>
      </c>
      <c r="AW120" s="241">
        <v>2.33</v>
      </c>
      <c r="AX120" s="241">
        <v>2.01</v>
      </c>
      <c r="AY120" s="241">
        <v>2.25</v>
      </c>
      <c r="AZ120" s="241">
        <v>2.2</v>
      </c>
      <c r="BA120" s="238">
        <v>2.2</v>
      </c>
      <c r="BB120" s="239">
        <v>2.29</v>
      </c>
      <c r="BC120" s="237">
        <f t="shared" si="77"/>
        <v>3.02212389380531</v>
      </c>
      <c r="BD120" s="238">
        <f t="shared" si="78"/>
        <v>2.9726027397260273</v>
      </c>
      <c r="BE120" s="238">
        <f t="shared" si="79"/>
        <v>2.9824561403508776</v>
      </c>
      <c r="BF120" s="238">
        <f t="shared" si="80"/>
        <v>2.9869565217391307</v>
      </c>
      <c r="BG120" s="238">
        <f t="shared" si="81"/>
        <v>3.008583690987124</v>
      </c>
      <c r="BH120" s="238">
        <f t="shared" si="82"/>
        <v>3.1791044776119404</v>
      </c>
      <c r="BI120" s="238">
        <f t="shared" si="83"/>
        <v>3.28</v>
      </c>
      <c r="BJ120" s="238">
        <f t="shared" si="84"/>
        <v>3.2636363636363632</v>
      </c>
      <c r="BK120" s="238">
        <f t="shared" si="85"/>
        <v>3.059090909090909</v>
      </c>
      <c r="BL120" s="238">
        <f t="shared" si="86"/>
        <v>2.938864628820961</v>
      </c>
      <c r="BM120" s="373">
        <f>10*2.37</f>
        <v>23.700000000000003</v>
      </c>
      <c r="BN120" s="373">
        <f>10*1.6</f>
        <v>16</v>
      </c>
      <c r="BO120" s="374">
        <f t="shared" si="66"/>
        <v>0.6751054852320675</v>
      </c>
      <c r="BP120" s="373">
        <f>10*1.23</f>
        <v>12.3</v>
      </c>
      <c r="BQ120" s="242">
        <f t="shared" si="65"/>
        <v>0.5189873417721519</v>
      </c>
      <c r="BS120" s="234"/>
    </row>
    <row r="121" spans="1:71" ht="15">
      <c r="A121" s="198">
        <v>1707</v>
      </c>
      <c r="B121" s="243" t="s">
        <v>242</v>
      </c>
      <c r="C121" s="236">
        <v>3</v>
      </c>
      <c r="D121" s="237">
        <v>8.4</v>
      </c>
      <c r="E121" s="238">
        <v>8.48</v>
      </c>
      <c r="F121" s="238">
        <v>8.83</v>
      </c>
      <c r="G121" s="238">
        <v>8.29</v>
      </c>
      <c r="H121" s="238">
        <v>8.54</v>
      </c>
      <c r="I121" s="238">
        <v>8.48</v>
      </c>
      <c r="J121" s="238">
        <v>8.37</v>
      </c>
      <c r="K121" s="238">
        <v>8.09</v>
      </c>
      <c r="L121" s="238">
        <v>7.92</v>
      </c>
      <c r="M121" s="239">
        <v>8.87</v>
      </c>
      <c r="N121" s="237">
        <v>2.98</v>
      </c>
      <c r="O121" s="238">
        <v>3.36</v>
      </c>
      <c r="P121" s="238">
        <v>3.39</v>
      </c>
      <c r="Q121" s="238">
        <v>3.2</v>
      </c>
      <c r="R121" s="238">
        <v>3.3</v>
      </c>
      <c r="S121" s="238">
        <v>2.91</v>
      </c>
      <c r="T121" s="238">
        <v>3.36</v>
      </c>
      <c r="U121" s="238">
        <v>3.36</v>
      </c>
      <c r="V121" s="238">
        <v>3.07</v>
      </c>
      <c r="W121" s="239">
        <v>3.21</v>
      </c>
      <c r="X121" s="237">
        <f t="shared" si="87"/>
        <v>2.8187919463087248</v>
      </c>
      <c r="Y121" s="238">
        <f t="shared" si="88"/>
        <v>2.523809523809524</v>
      </c>
      <c r="Z121" s="238">
        <f t="shared" si="89"/>
        <v>2.6047197640117994</v>
      </c>
      <c r="AA121" s="238">
        <f t="shared" si="90"/>
        <v>2.5906249999999997</v>
      </c>
      <c r="AB121" s="238">
        <f t="shared" si="91"/>
        <v>2.587878787878788</v>
      </c>
      <c r="AC121" s="238">
        <f t="shared" si="92"/>
        <v>2.9140893470790377</v>
      </c>
      <c r="AD121" s="238">
        <f t="shared" si="93"/>
        <v>2.4910714285714284</v>
      </c>
      <c r="AE121" s="238">
        <f t="shared" si="94"/>
        <v>2.4077380952380953</v>
      </c>
      <c r="AF121" s="238">
        <f t="shared" si="95"/>
        <v>2.5798045602605866</v>
      </c>
      <c r="AG121" s="239">
        <f t="shared" si="96"/>
        <v>2.763239875389408</v>
      </c>
      <c r="AH121" s="243" t="s">
        <v>242</v>
      </c>
      <c r="AI121" s="237">
        <v>6.85</v>
      </c>
      <c r="AJ121" s="241">
        <v>6.05</v>
      </c>
      <c r="AK121" s="241">
        <v>6.09</v>
      </c>
      <c r="AL121" s="241">
        <v>5.81</v>
      </c>
      <c r="AM121" s="241">
        <v>6.16</v>
      </c>
      <c r="AN121" s="241">
        <v>5.88</v>
      </c>
      <c r="AO121" s="241">
        <v>6.02</v>
      </c>
      <c r="AP121" s="241">
        <v>5.66</v>
      </c>
      <c r="AQ121" s="238">
        <v>5.73</v>
      </c>
      <c r="AR121" s="239">
        <v>6.07</v>
      </c>
      <c r="AS121" s="237">
        <v>2.82</v>
      </c>
      <c r="AT121" s="241">
        <v>2.8</v>
      </c>
      <c r="AU121" s="241">
        <v>2.82</v>
      </c>
      <c r="AV121" s="241">
        <v>2.81</v>
      </c>
      <c r="AW121" s="241">
        <v>2.92</v>
      </c>
      <c r="AX121" s="241">
        <v>2.72</v>
      </c>
      <c r="AY121" s="241">
        <v>2.71</v>
      </c>
      <c r="AZ121" s="241">
        <v>2.94</v>
      </c>
      <c r="BA121" s="238">
        <v>2.84</v>
      </c>
      <c r="BB121" s="239">
        <v>2.79</v>
      </c>
      <c r="BC121" s="237">
        <f t="shared" si="77"/>
        <v>2.4290780141843973</v>
      </c>
      <c r="BD121" s="238">
        <f t="shared" si="78"/>
        <v>2.1607142857142856</v>
      </c>
      <c r="BE121" s="238">
        <f t="shared" si="79"/>
        <v>2.1595744680851063</v>
      </c>
      <c r="BF121" s="238">
        <f t="shared" si="80"/>
        <v>2.067615658362989</v>
      </c>
      <c r="BG121" s="238">
        <f t="shared" si="81"/>
        <v>2.1095890410958904</v>
      </c>
      <c r="BH121" s="238">
        <f t="shared" si="82"/>
        <v>2.161764705882353</v>
      </c>
      <c r="BI121" s="238">
        <f t="shared" si="83"/>
        <v>2.22140221402214</v>
      </c>
      <c r="BJ121" s="238">
        <f t="shared" si="84"/>
        <v>1.925170068027211</v>
      </c>
      <c r="BK121" s="238">
        <f t="shared" si="85"/>
        <v>2.017605633802817</v>
      </c>
      <c r="BL121" s="239">
        <f t="shared" si="86"/>
        <v>2.175627240143369</v>
      </c>
      <c r="BM121" s="373">
        <v>26.76</v>
      </c>
      <c r="BN121" s="373">
        <v>18.15</v>
      </c>
      <c r="BO121" s="374">
        <f t="shared" si="66"/>
        <v>0.6782511210762331</v>
      </c>
      <c r="BP121" s="373">
        <v>17.41</v>
      </c>
      <c r="BQ121" s="242">
        <f t="shared" si="65"/>
        <v>0.6505979073243647</v>
      </c>
      <c r="BS121" s="234"/>
    </row>
    <row r="122" spans="1:71" ht="15.75" thickBot="1">
      <c r="A122" s="198">
        <v>1708</v>
      </c>
      <c r="B122" s="243" t="s">
        <v>243</v>
      </c>
      <c r="C122" s="251">
        <v>3</v>
      </c>
      <c r="D122" s="252">
        <v>10.62</v>
      </c>
      <c r="E122" s="253">
        <v>9.47</v>
      </c>
      <c r="F122" s="253">
        <v>9.36</v>
      </c>
      <c r="G122" s="253">
        <v>9.27</v>
      </c>
      <c r="H122" s="253">
        <v>9.58</v>
      </c>
      <c r="I122" s="253">
        <v>9.97</v>
      </c>
      <c r="J122" s="253">
        <v>9.03</v>
      </c>
      <c r="K122" s="253">
        <v>9.6</v>
      </c>
      <c r="L122" s="253">
        <v>9.22</v>
      </c>
      <c r="M122" s="254">
        <v>10.07</v>
      </c>
      <c r="N122" s="252">
        <v>3.11</v>
      </c>
      <c r="O122" s="253">
        <v>3.07</v>
      </c>
      <c r="P122" s="253">
        <v>3.18</v>
      </c>
      <c r="Q122" s="253">
        <v>3.02</v>
      </c>
      <c r="R122" s="253">
        <v>3.19</v>
      </c>
      <c r="S122" s="253">
        <v>3.15</v>
      </c>
      <c r="T122" s="253">
        <v>3.15</v>
      </c>
      <c r="U122" s="253">
        <v>3.14</v>
      </c>
      <c r="V122" s="253">
        <v>3.13</v>
      </c>
      <c r="W122" s="254">
        <v>3.12</v>
      </c>
      <c r="X122" s="252">
        <f t="shared" si="87"/>
        <v>3.414790996784566</v>
      </c>
      <c r="Y122" s="253">
        <f t="shared" si="88"/>
        <v>3.084690553745929</v>
      </c>
      <c r="Z122" s="253">
        <f t="shared" si="89"/>
        <v>2.943396226415094</v>
      </c>
      <c r="AA122" s="253">
        <f t="shared" si="90"/>
        <v>3.0695364238410594</v>
      </c>
      <c r="AB122" s="253">
        <f t="shared" si="91"/>
        <v>3.0031347962382444</v>
      </c>
      <c r="AC122" s="253">
        <f t="shared" si="92"/>
        <v>3.1650793650793654</v>
      </c>
      <c r="AD122" s="253">
        <f t="shared" si="93"/>
        <v>2.8666666666666667</v>
      </c>
      <c r="AE122" s="253">
        <f t="shared" si="94"/>
        <v>3.057324840764331</v>
      </c>
      <c r="AF122" s="253">
        <f t="shared" si="95"/>
        <v>2.9456869009584667</v>
      </c>
      <c r="AG122" s="254">
        <f t="shared" si="96"/>
        <v>3.2275641025641026</v>
      </c>
      <c r="AH122" s="243" t="s">
        <v>243</v>
      </c>
      <c r="AI122" s="252">
        <v>7.29</v>
      </c>
      <c r="AJ122" s="255">
        <v>7.13</v>
      </c>
      <c r="AK122" s="255">
        <v>7.01</v>
      </c>
      <c r="AL122" s="255">
        <v>7.1</v>
      </c>
      <c r="AM122" s="255">
        <v>7.04</v>
      </c>
      <c r="AN122" s="255">
        <v>6.86</v>
      </c>
      <c r="AO122" s="255">
        <v>6.55</v>
      </c>
      <c r="AP122" s="255">
        <v>6.95</v>
      </c>
      <c r="AQ122" s="253">
        <v>6.87</v>
      </c>
      <c r="AR122" s="254">
        <v>7.21</v>
      </c>
      <c r="AS122" s="252">
        <v>2.73</v>
      </c>
      <c r="AT122" s="255">
        <v>2.64</v>
      </c>
      <c r="AU122" s="255">
        <v>2.71</v>
      </c>
      <c r="AV122" s="255">
        <v>2.69</v>
      </c>
      <c r="AW122" s="255">
        <v>2.63</v>
      </c>
      <c r="AX122" s="255">
        <v>2.69</v>
      </c>
      <c r="AY122" s="255">
        <v>2.64</v>
      </c>
      <c r="AZ122" s="255">
        <v>2.62</v>
      </c>
      <c r="BA122" s="253">
        <v>2.72</v>
      </c>
      <c r="BB122" s="254">
        <v>2.67</v>
      </c>
      <c r="BC122" s="252">
        <f t="shared" si="77"/>
        <v>2.67032967032967</v>
      </c>
      <c r="BD122" s="253">
        <f t="shared" si="78"/>
        <v>2.7007575757575757</v>
      </c>
      <c r="BE122" s="253">
        <f t="shared" si="79"/>
        <v>2.5867158671586714</v>
      </c>
      <c r="BF122" s="253">
        <f t="shared" si="80"/>
        <v>2.6394052044609664</v>
      </c>
      <c r="BG122" s="253">
        <f t="shared" si="81"/>
        <v>2.6768060836501903</v>
      </c>
      <c r="BH122" s="253">
        <f t="shared" si="82"/>
        <v>2.550185873605948</v>
      </c>
      <c r="BI122" s="253">
        <f t="shared" si="83"/>
        <v>2.481060606060606</v>
      </c>
      <c r="BJ122" s="253">
        <f t="shared" si="84"/>
        <v>2.6526717557251906</v>
      </c>
      <c r="BK122" s="253">
        <f t="shared" si="85"/>
        <v>2.5257352941176467</v>
      </c>
      <c r="BL122" s="254">
        <f t="shared" si="86"/>
        <v>2.700374531835206</v>
      </c>
      <c r="BM122" s="377">
        <v>28.42</v>
      </c>
      <c r="BN122" s="377">
        <v>19.54</v>
      </c>
      <c r="BO122" s="378">
        <f t="shared" si="66"/>
        <v>0.6875439831104855</v>
      </c>
      <c r="BP122" s="377">
        <v>18.79</v>
      </c>
      <c r="BQ122" s="256">
        <f t="shared" si="65"/>
        <v>0.6611541168191414</v>
      </c>
      <c r="BS122" s="234"/>
    </row>
    <row r="124" spans="4:65" ht="15.75">
      <c r="D124" s="216">
        <f>MIN(D3:M122)</f>
        <v>6.06</v>
      </c>
      <c r="N124" s="216">
        <f>MIN(N3:W122)</f>
        <v>2.11</v>
      </c>
      <c r="X124" s="216">
        <f>MIN(X3:AG122)</f>
        <v>1.7642679900744416</v>
      </c>
      <c r="AH124" s="216"/>
      <c r="AI124" s="216">
        <f>MIN(AI3:AR122)</f>
        <v>4.23</v>
      </c>
      <c r="AS124" s="216">
        <f>MIN(AS3:BB122)</f>
        <v>1.86</v>
      </c>
      <c r="BC124" s="216">
        <f>MIN(BC3:BL122)</f>
        <v>1.5015384615384615</v>
      </c>
      <c r="BM124" s="369">
        <f>MIN(BM3:BM122)</f>
        <v>13.68</v>
      </c>
    </row>
    <row r="125" spans="4:65" ht="15.75">
      <c r="D125" s="216">
        <f>MAX(D3:M122)</f>
        <v>12.85</v>
      </c>
      <c r="N125" s="216">
        <f>MAX(N3:W122)</f>
        <v>4.03</v>
      </c>
      <c r="X125" s="216">
        <f>MAX(X3:AG122)</f>
        <v>4.747081712062257</v>
      </c>
      <c r="AH125" s="216"/>
      <c r="AI125" s="216">
        <f>MAX(AI3:AR122)</f>
        <v>8.8</v>
      </c>
      <c r="AS125" s="216">
        <f>MAX(AS3:BB122)</f>
        <v>3.42</v>
      </c>
      <c r="BC125" s="216">
        <f>MAX(BC3:BL122)</f>
        <v>3.9463414634146345</v>
      </c>
      <c r="BM125" s="369">
        <f>MAX(BM3:BM122)</f>
        <v>41.49</v>
      </c>
    </row>
    <row r="126" spans="3:54" ht="15.75">
      <c r="C126" s="215">
        <v>0.1</v>
      </c>
      <c r="M126" s="216">
        <v>0.05</v>
      </c>
      <c r="W126" s="216">
        <v>0.05</v>
      </c>
      <c r="AH126" s="216">
        <v>0.05</v>
      </c>
      <c r="AR126" s="216">
        <v>0.05</v>
      </c>
      <c r="BB126" s="216">
        <v>0.05</v>
      </c>
    </row>
    <row r="127" spans="4:66" ht="15.75">
      <c r="D127" s="216">
        <v>12.9</v>
      </c>
      <c r="E127" s="216">
        <f>COUNTIF($D$3:$M$122,"&lt;="&amp;D127)-COUNTIF($D$3:$M$122,"&lt;"&amp;D128)</f>
        <v>1</v>
      </c>
      <c r="N127" s="216">
        <v>4</v>
      </c>
      <c r="O127" s="216">
        <f>COUNTIF($N$3:$W$122,"&lt;="&amp;N127)-COUNTIF($N$3:$W$122,"&lt;"&amp;N128)</f>
        <v>2</v>
      </c>
      <c r="X127" s="216">
        <v>4.5</v>
      </c>
      <c r="Y127" s="216">
        <f>COUNTIF(X3:AG122,"&lt;="&amp;X127)-COUNTIF(X3:AG122,"&lt;"&amp;X128)</f>
        <v>2</v>
      </c>
      <c r="AI127" s="216">
        <v>8.85</v>
      </c>
      <c r="AJ127" s="216">
        <f>COUNTIF($AI$3:$AR$122,"&lt;="&amp;AI127)-COUNTIF($AI$3:$AR$122,"&lt;"&amp;AI128)</f>
        <v>1</v>
      </c>
      <c r="AS127" s="216">
        <v>3.5</v>
      </c>
      <c r="AT127" s="216">
        <f aca="true" t="shared" si="97" ref="AT127:AT134">COUNTIF($AS$3:$BB$122,"&lt;="&amp;AS127)-COUNTIF($AS$3:$BB$122,"&lt;"&amp;AS128)</f>
        <v>0</v>
      </c>
      <c r="BC127" s="216">
        <v>4</v>
      </c>
      <c r="BD127" s="216">
        <f>COUNTIF($BC$3:$BL$122,"&lt;="&amp;BC127)-COUNTIF($BC$3:$BL$122,"&lt;"&amp;BC128)</f>
        <v>0</v>
      </c>
      <c r="BM127" s="369">
        <v>12</v>
      </c>
      <c r="BN127" s="369">
        <f aca="true" t="shared" si="98" ref="BN127:BN158">COUNTIF($BM$3:$BM$122,"&lt;="&amp;BM128)-COUNTIF($BM$3:$BM$122,"&lt;"&amp;BM127)</f>
        <v>0</v>
      </c>
    </row>
    <row r="128" spans="4:66" ht="15.75">
      <c r="D128" s="216">
        <f>D127-$C$126</f>
        <v>12.8</v>
      </c>
      <c r="E128" s="216">
        <f aca="true" t="shared" si="99" ref="E128:E191">COUNTIF($D$3:$M$122,"&lt;="&amp;D128)-COUNTIF($D$3:$M$122,"&lt;"&amp;D129)</f>
        <v>3</v>
      </c>
      <c r="N128" s="216">
        <f>N127-$M$126</f>
        <v>3.95</v>
      </c>
      <c r="O128" s="216">
        <f aca="true" t="shared" si="100" ref="O128:O168">COUNTIF($N$3:$W$122,"&lt;="&amp;N128)-COUNTIF($N$3:$W$122,"&lt;"&amp;N129)</f>
        <v>3</v>
      </c>
      <c r="X128" s="216">
        <f>X127-$W$126</f>
        <v>4.45</v>
      </c>
      <c r="Y128" s="216">
        <f aca="true" t="shared" si="101" ref="Y128:Y184">COUNTIF($X$3:$AG$122,"&lt;="&amp;X128)-COUNTIF($X$3:$AG$122,"&lt;"&amp;X129)</f>
        <v>0</v>
      </c>
      <c r="AI128" s="216">
        <f>AI127-$AR$126</f>
        <v>8.799999999999999</v>
      </c>
      <c r="AJ128" s="216">
        <f aca="true" t="shared" si="102" ref="AJ128:AJ191">COUNTIF($AI$3:$AR$122,"&lt;="&amp;AI128)-COUNTIF($AI$3:$AR$122,"&lt;"&amp;AI129)</f>
        <v>1</v>
      </c>
      <c r="AS128" s="216">
        <f>AS127-$AR$126</f>
        <v>3.45</v>
      </c>
      <c r="AT128" s="216">
        <f t="shared" si="97"/>
        <v>1</v>
      </c>
      <c r="BC128" s="216">
        <f>BC127-$AR$126</f>
        <v>3.95</v>
      </c>
      <c r="BD128" s="216">
        <f>COUNTIF($BC$3:$BL$122,"&lt;="&amp;BC128)-COUNTIF($BC$3:$BL$122,"&lt;"&amp;BC129)</f>
        <v>1</v>
      </c>
      <c r="BM128" s="369">
        <v>13</v>
      </c>
      <c r="BN128" s="369">
        <f t="shared" si="98"/>
        <v>1</v>
      </c>
    </row>
    <row r="129" spans="4:66" ht="15.75">
      <c r="D129" s="216">
        <f aca="true" t="shared" si="103" ref="D129:D192">D128-$C$126</f>
        <v>12.700000000000001</v>
      </c>
      <c r="E129" s="216">
        <f t="shared" si="99"/>
        <v>0</v>
      </c>
      <c r="N129" s="216">
        <f aca="true" t="shared" si="104" ref="N129:N168">N128-$M$126</f>
        <v>3.9000000000000004</v>
      </c>
      <c r="O129" s="216">
        <f t="shared" si="100"/>
        <v>5</v>
      </c>
      <c r="X129" s="216">
        <f aca="true" t="shared" si="105" ref="X129:X185">X128-$W$126</f>
        <v>4.4</v>
      </c>
      <c r="Y129" s="216">
        <f t="shared" si="101"/>
        <v>5</v>
      </c>
      <c r="AI129" s="216">
        <f aca="true" t="shared" si="106" ref="AI129:AI175">AI128-$AR$126</f>
        <v>8.749999999999998</v>
      </c>
      <c r="AJ129" s="216">
        <f t="shared" si="102"/>
        <v>0</v>
      </c>
      <c r="AS129" s="216">
        <f aca="true" t="shared" si="107" ref="AS129:AS160">AS128-$AR$126</f>
        <v>3.4000000000000004</v>
      </c>
      <c r="AT129" s="216">
        <f t="shared" si="97"/>
        <v>3</v>
      </c>
      <c r="BC129" s="216">
        <f aca="true" t="shared" si="108" ref="BC129:BC178">BC128-$AR$126</f>
        <v>3.9000000000000004</v>
      </c>
      <c r="BD129" s="216">
        <f aca="true" t="shared" si="109" ref="BD129:BD178">COUNTIF($BC$3:$BL$122,"&lt;="&amp;BC129)-COUNTIF($BC$3:$BL$122,"&lt;"&amp;BC130)</f>
        <v>3</v>
      </c>
      <c r="BM129" s="369">
        <v>14</v>
      </c>
      <c r="BN129" s="369">
        <f t="shared" si="98"/>
        <v>0</v>
      </c>
    </row>
    <row r="130" spans="4:66" ht="15.75">
      <c r="D130" s="216">
        <f t="shared" si="103"/>
        <v>12.600000000000001</v>
      </c>
      <c r="E130" s="216">
        <f t="shared" si="99"/>
        <v>1</v>
      </c>
      <c r="N130" s="216">
        <f t="shared" si="104"/>
        <v>3.8500000000000005</v>
      </c>
      <c r="O130" s="216">
        <f t="shared" si="100"/>
        <v>15</v>
      </c>
      <c r="X130" s="216">
        <f t="shared" si="105"/>
        <v>4.3500000000000005</v>
      </c>
      <c r="Y130" s="216">
        <f t="shared" si="101"/>
        <v>2</v>
      </c>
      <c r="AI130" s="216">
        <f t="shared" si="106"/>
        <v>8.699999999999998</v>
      </c>
      <c r="AJ130" s="216">
        <f t="shared" si="102"/>
        <v>3</v>
      </c>
      <c r="AS130" s="216">
        <f t="shared" si="107"/>
        <v>3.3500000000000005</v>
      </c>
      <c r="AT130" s="216">
        <f t="shared" si="97"/>
        <v>13</v>
      </c>
      <c r="BC130" s="216">
        <f t="shared" si="108"/>
        <v>3.8500000000000005</v>
      </c>
      <c r="BD130" s="216">
        <f t="shared" si="109"/>
        <v>1</v>
      </c>
      <c r="BM130" s="369">
        <v>15</v>
      </c>
      <c r="BN130" s="369">
        <f t="shared" si="98"/>
        <v>0</v>
      </c>
    </row>
    <row r="131" spans="4:66" ht="15.75">
      <c r="D131" s="216">
        <f t="shared" si="103"/>
        <v>12.500000000000002</v>
      </c>
      <c r="E131" s="216">
        <f t="shared" si="99"/>
        <v>1</v>
      </c>
      <c r="N131" s="216">
        <f t="shared" si="104"/>
        <v>3.8000000000000007</v>
      </c>
      <c r="O131" s="216">
        <f t="shared" si="100"/>
        <v>18</v>
      </c>
      <c r="X131" s="216">
        <f t="shared" si="105"/>
        <v>4.300000000000001</v>
      </c>
      <c r="Y131" s="216">
        <f t="shared" si="101"/>
        <v>5</v>
      </c>
      <c r="AI131" s="216">
        <f t="shared" si="106"/>
        <v>8.649999999999997</v>
      </c>
      <c r="AJ131" s="216">
        <f t="shared" si="102"/>
        <v>2</v>
      </c>
      <c r="AS131" s="216">
        <f t="shared" si="107"/>
        <v>3.3000000000000007</v>
      </c>
      <c r="AT131" s="216">
        <f t="shared" si="97"/>
        <v>26</v>
      </c>
      <c r="BC131" s="216">
        <f t="shared" si="108"/>
        <v>3.8000000000000007</v>
      </c>
      <c r="BD131" s="216">
        <f t="shared" si="109"/>
        <v>5</v>
      </c>
      <c r="BM131" s="369">
        <v>16</v>
      </c>
      <c r="BN131" s="369">
        <f t="shared" si="98"/>
        <v>0</v>
      </c>
    </row>
    <row r="132" spans="4:66" ht="15.75">
      <c r="D132" s="216">
        <f t="shared" si="103"/>
        <v>12.400000000000002</v>
      </c>
      <c r="E132" s="216">
        <f t="shared" si="99"/>
        <v>1</v>
      </c>
      <c r="N132" s="216">
        <f t="shared" si="104"/>
        <v>3.750000000000001</v>
      </c>
      <c r="O132" s="216">
        <f t="shared" si="100"/>
        <v>19</v>
      </c>
      <c r="X132" s="216">
        <f t="shared" si="105"/>
        <v>4.250000000000001</v>
      </c>
      <c r="Y132" s="216">
        <f t="shared" si="101"/>
        <v>9</v>
      </c>
      <c r="AI132" s="216">
        <f t="shared" si="106"/>
        <v>8.599999999999996</v>
      </c>
      <c r="AJ132" s="216">
        <f t="shared" si="102"/>
        <v>1</v>
      </c>
      <c r="AS132" s="216">
        <f t="shared" si="107"/>
        <v>3.250000000000001</v>
      </c>
      <c r="AT132" s="216">
        <f t="shared" si="97"/>
        <v>24</v>
      </c>
      <c r="BC132" s="216">
        <f t="shared" si="108"/>
        <v>3.750000000000001</v>
      </c>
      <c r="BD132" s="216">
        <f t="shared" si="109"/>
        <v>6</v>
      </c>
      <c r="BM132" s="369">
        <v>17</v>
      </c>
      <c r="BN132" s="369">
        <f t="shared" si="98"/>
        <v>0</v>
      </c>
    </row>
    <row r="133" spans="4:66" ht="15.75">
      <c r="D133" s="216">
        <f t="shared" si="103"/>
        <v>12.300000000000002</v>
      </c>
      <c r="E133" s="216">
        <f t="shared" si="99"/>
        <v>2</v>
      </c>
      <c r="N133" s="216">
        <f t="shared" si="104"/>
        <v>3.700000000000001</v>
      </c>
      <c r="O133" s="216">
        <f t="shared" si="100"/>
        <v>21</v>
      </c>
      <c r="X133" s="216">
        <f t="shared" si="105"/>
        <v>4.200000000000001</v>
      </c>
      <c r="Y133" s="216">
        <f t="shared" si="101"/>
        <v>14</v>
      </c>
      <c r="AI133" s="216">
        <f t="shared" si="106"/>
        <v>8.549999999999995</v>
      </c>
      <c r="AJ133" s="216">
        <f t="shared" si="102"/>
        <v>2</v>
      </c>
      <c r="AS133" s="216">
        <f t="shared" si="107"/>
        <v>3.200000000000001</v>
      </c>
      <c r="AT133" s="216">
        <f t="shared" si="97"/>
        <v>34</v>
      </c>
      <c r="BC133" s="216">
        <f t="shared" si="108"/>
        <v>3.700000000000001</v>
      </c>
      <c r="BD133" s="216">
        <f t="shared" si="109"/>
        <v>9</v>
      </c>
      <c r="BM133" s="369">
        <v>18</v>
      </c>
      <c r="BN133" s="369">
        <f t="shared" si="98"/>
        <v>1</v>
      </c>
    </row>
    <row r="134" spans="4:66" ht="15.75">
      <c r="D134" s="216">
        <f t="shared" si="103"/>
        <v>12.200000000000003</v>
      </c>
      <c r="E134" s="216">
        <f t="shared" si="99"/>
        <v>1</v>
      </c>
      <c r="N134" s="216">
        <f t="shared" si="104"/>
        <v>3.6500000000000012</v>
      </c>
      <c r="O134" s="216">
        <f t="shared" si="100"/>
        <v>30</v>
      </c>
      <c r="X134" s="216">
        <f t="shared" si="105"/>
        <v>4.150000000000001</v>
      </c>
      <c r="Y134" s="216">
        <f t="shared" si="101"/>
        <v>15</v>
      </c>
      <c r="AI134" s="216">
        <f t="shared" si="106"/>
        <v>8.499999999999995</v>
      </c>
      <c r="AJ134" s="216">
        <f t="shared" si="102"/>
        <v>1</v>
      </c>
      <c r="AS134" s="216">
        <f t="shared" si="107"/>
        <v>3.1500000000000012</v>
      </c>
      <c r="AT134" s="216">
        <f t="shared" si="97"/>
        <v>37</v>
      </c>
      <c r="BC134" s="216">
        <f t="shared" si="108"/>
        <v>3.6500000000000012</v>
      </c>
      <c r="BD134" s="216">
        <f t="shared" si="109"/>
        <v>5</v>
      </c>
      <c r="BM134" s="369">
        <v>19</v>
      </c>
      <c r="BN134" s="369">
        <f t="shared" si="98"/>
        <v>3</v>
      </c>
    </row>
    <row r="135" spans="4:66" ht="15.75">
      <c r="D135" s="216">
        <f t="shared" si="103"/>
        <v>12.100000000000003</v>
      </c>
      <c r="E135" s="216">
        <f t="shared" si="99"/>
        <v>1</v>
      </c>
      <c r="N135" s="216">
        <f t="shared" si="104"/>
        <v>3.6000000000000014</v>
      </c>
      <c r="O135" s="216">
        <f t="shared" si="100"/>
        <v>37</v>
      </c>
      <c r="X135" s="216">
        <f t="shared" si="105"/>
        <v>4.100000000000001</v>
      </c>
      <c r="Y135" s="216">
        <f t="shared" si="101"/>
        <v>7</v>
      </c>
      <c r="AI135" s="216">
        <f t="shared" si="106"/>
        <v>8.449999999999994</v>
      </c>
      <c r="AJ135" s="216">
        <f t="shared" si="102"/>
        <v>2</v>
      </c>
      <c r="AS135" s="216">
        <f t="shared" si="107"/>
        <v>3.1000000000000014</v>
      </c>
      <c r="AT135" s="216">
        <f aca="true" t="shared" si="110" ref="AT135:AT159">COUNTIF($AS$3:$BB$122,"&lt;="&amp;AS135)-COUNTIF($AS$3:$BB$122,"&lt;"&amp;AS136)</f>
        <v>29</v>
      </c>
      <c r="BC135" s="216">
        <f t="shared" si="108"/>
        <v>3.6000000000000014</v>
      </c>
      <c r="BD135" s="216">
        <f t="shared" si="109"/>
        <v>16</v>
      </c>
      <c r="BM135" s="369">
        <v>20</v>
      </c>
      <c r="BN135" s="369">
        <f t="shared" si="98"/>
        <v>5</v>
      </c>
    </row>
    <row r="136" spans="4:66" ht="15.75">
      <c r="D136" s="216">
        <f t="shared" si="103"/>
        <v>12.000000000000004</v>
      </c>
      <c r="E136" s="216">
        <f t="shared" si="99"/>
        <v>1</v>
      </c>
      <c r="N136" s="216">
        <f t="shared" si="104"/>
        <v>3.5500000000000016</v>
      </c>
      <c r="O136" s="216">
        <f t="shared" si="100"/>
        <v>43</v>
      </c>
      <c r="X136" s="216">
        <f t="shared" si="105"/>
        <v>4.050000000000002</v>
      </c>
      <c r="Y136" s="216">
        <f t="shared" si="101"/>
        <v>15</v>
      </c>
      <c r="AI136" s="216">
        <f t="shared" si="106"/>
        <v>8.399999999999993</v>
      </c>
      <c r="AJ136" s="216">
        <f t="shared" si="102"/>
        <v>1</v>
      </c>
      <c r="AS136" s="216">
        <f t="shared" si="107"/>
        <v>3.0500000000000016</v>
      </c>
      <c r="AT136" s="216">
        <f t="shared" si="110"/>
        <v>44</v>
      </c>
      <c r="BC136" s="216">
        <f t="shared" si="108"/>
        <v>3.5500000000000016</v>
      </c>
      <c r="BD136" s="216">
        <f t="shared" si="109"/>
        <v>18</v>
      </c>
      <c r="BM136" s="369">
        <v>21</v>
      </c>
      <c r="BN136" s="369">
        <f t="shared" si="98"/>
        <v>2</v>
      </c>
    </row>
    <row r="137" spans="4:66" ht="15.75">
      <c r="D137" s="216">
        <f t="shared" si="103"/>
        <v>11.900000000000004</v>
      </c>
      <c r="E137" s="216">
        <f t="shared" si="99"/>
        <v>1</v>
      </c>
      <c r="N137" s="216">
        <f t="shared" si="104"/>
        <v>3.5000000000000018</v>
      </c>
      <c r="O137" s="216">
        <f t="shared" si="100"/>
        <v>59</v>
      </c>
      <c r="X137" s="216">
        <f t="shared" si="105"/>
        <v>4.000000000000002</v>
      </c>
      <c r="Y137" s="216">
        <f t="shared" si="101"/>
        <v>19</v>
      </c>
      <c r="AI137" s="216">
        <f t="shared" si="106"/>
        <v>8.349999999999993</v>
      </c>
      <c r="AJ137" s="216">
        <f t="shared" si="102"/>
        <v>0</v>
      </c>
      <c r="AS137" s="216">
        <f t="shared" si="107"/>
        <v>3.0000000000000018</v>
      </c>
      <c r="AT137" s="216">
        <f t="shared" si="110"/>
        <v>57</v>
      </c>
      <c r="BC137" s="216">
        <f t="shared" si="108"/>
        <v>3.5000000000000018</v>
      </c>
      <c r="BD137" s="216">
        <f t="shared" si="109"/>
        <v>17</v>
      </c>
      <c r="BM137" s="369">
        <v>22</v>
      </c>
      <c r="BN137" s="369">
        <f t="shared" si="98"/>
        <v>11</v>
      </c>
    </row>
    <row r="138" spans="4:66" ht="15.75">
      <c r="D138" s="216">
        <f t="shared" si="103"/>
        <v>11.800000000000004</v>
      </c>
      <c r="E138" s="216">
        <f t="shared" si="99"/>
        <v>0</v>
      </c>
      <c r="N138" s="216">
        <f t="shared" si="104"/>
        <v>3.450000000000002</v>
      </c>
      <c r="O138" s="216">
        <f t="shared" si="100"/>
        <v>59</v>
      </c>
      <c r="X138" s="216">
        <f t="shared" si="105"/>
        <v>3.950000000000002</v>
      </c>
      <c r="Y138" s="216">
        <f t="shared" si="101"/>
        <v>30</v>
      </c>
      <c r="AI138" s="216">
        <f t="shared" si="106"/>
        <v>8.299999999999992</v>
      </c>
      <c r="AJ138" s="216">
        <f t="shared" si="102"/>
        <v>0</v>
      </c>
      <c r="AS138" s="216">
        <f t="shared" si="107"/>
        <v>2.950000000000002</v>
      </c>
      <c r="AT138" s="216">
        <f t="shared" si="110"/>
        <v>66</v>
      </c>
      <c r="BC138" s="216">
        <f t="shared" si="108"/>
        <v>3.450000000000002</v>
      </c>
      <c r="BD138" s="216">
        <f t="shared" si="109"/>
        <v>19</v>
      </c>
      <c r="BM138" s="369">
        <v>23</v>
      </c>
      <c r="BN138" s="369">
        <f t="shared" si="98"/>
        <v>15</v>
      </c>
    </row>
    <row r="139" spans="4:66" ht="15.75">
      <c r="D139" s="216">
        <f t="shared" si="103"/>
        <v>11.700000000000005</v>
      </c>
      <c r="E139" s="216">
        <f t="shared" si="99"/>
        <v>1</v>
      </c>
      <c r="N139" s="216">
        <f t="shared" si="104"/>
        <v>3.400000000000002</v>
      </c>
      <c r="O139" s="216">
        <f t="shared" si="100"/>
        <v>66</v>
      </c>
      <c r="X139" s="216">
        <f t="shared" si="105"/>
        <v>3.900000000000002</v>
      </c>
      <c r="Y139" s="216">
        <f t="shared" si="101"/>
        <v>22</v>
      </c>
      <c r="AI139" s="216">
        <f t="shared" si="106"/>
        <v>8.249999999999991</v>
      </c>
      <c r="AJ139" s="216">
        <f t="shared" si="102"/>
        <v>1</v>
      </c>
      <c r="AS139" s="216">
        <f t="shared" si="107"/>
        <v>2.900000000000002</v>
      </c>
      <c r="AT139" s="216">
        <f t="shared" si="110"/>
        <v>80</v>
      </c>
      <c r="BC139" s="216">
        <f t="shared" si="108"/>
        <v>3.400000000000002</v>
      </c>
      <c r="BD139" s="216">
        <f t="shared" si="109"/>
        <v>35</v>
      </c>
      <c r="BM139" s="369">
        <v>24</v>
      </c>
      <c r="BN139" s="369">
        <f t="shared" si="98"/>
        <v>4</v>
      </c>
    </row>
    <row r="140" spans="4:66" ht="15.75">
      <c r="D140" s="216">
        <f t="shared" si="103"/>
        <v>11.600000000000005</v>
      </c>
      <c r="E140" s="216">
        <f t="shared" si="99"/>
        <v>2</v>
      </c>
      <c r="N140" s="216">
        <f t="shared" si="104"/>
        <v>3.3500000000000023</v>
      </c>
      <c r="O140" s="216">
        <f t="shared" si="100"/>
        <v>56</v>
      </c>
      <c r="X140" s="216">
        <f t="shared" si="105"/>
        <v>3.8500000000000023</v>
      </c>
      <c r="Y140" s="216">
        <f t="shared" si="101"/>
        <v>28</v>
      </c>
      <c r="AI140" s="216">
        <f t="shared" si="106"/>
        <v>8.19999999999999</v>
      </c>
      <c r="AJ140" s="216">
        <f t="shared" si="102"/>
        <v>1</v>
      </c>
      <c r="AS140" s="216">
        <f t="shared" si="107"/>
        <v>2.8500000000000023</v>
      </c>
      <c r="AT140" s="216">
        <f t="shared" si="110"/>
        <v>71</v>
      </c>
      <c r="BC140" s="216">
        <f t="shared" si="108"/>
        <v>3.3500000000000023</v>
      </c>
      <c r="BD140" s="216">
        <f t="shared" si="109"/>
        <v>41</v>
      </c>
      <c r="BM140" s="369">
        <v>25</v>
      </c>
      <c r="BN140" s="369">
        <f t="shared" si="98"/>
        <v>5</v>
      </c>
    </row>
    <row r="141" spans="4:66" ht="15.75">
      <c r="D141" s="216">
        <f t="shared" si="103"/>
        <v>11.500000000000005</v>
      </c>
      <c r="E141" s="216">
        <f t="shared" si="99"/>
        <v>0</v>
      </c>
      <c r="N141" s="216">
        <f t="shared" si="104"/>
        <v>3.3000000000000025</v>
      </c>
      <c r="O141" s="216">
        <f t="shared" si="100"/>
        <v>67</v>
      </c>
      <c r="X141" s="216">
        <f t="shared" si="105"/>
        <v>3.8000000000000025</v>
      </c>
      <c r="Y141" s="216">
        <f t="shared" si="101"/>
        <v>30</v>
      </c>
      <c r="AI141" s="216">
        <f t="shared" si="106"/>
        <v>8.14999999999999</v>
      </c>
      <c r="AJ141" s="216">
        <f t="shared" si="102"/>
        <v>3</v>
      </c>
      <c r="AS141" s="216">
        <f t="shared" si="107"/>
        <v>2.8000000000000025</v>
      </c>
      <c r="AT141" s="216">
        <f t="shared" si="110"/>
        <v>60</v>
      </c>
      <c r="BC141" s="216">
        <f t="shared" si="108"/>
        <v>3.3000000000000025</v>
      </c>
      <c r="BD141" s="216">
        <f t="shared" si="109"/>
        <v>35</v>
      </c>
      <c r="BM141" s="369">
        <v>26</v>
      </c>
      <c r="BN141" s="369">
        <f t="shared" si="98"/>
        <v>10</v>
      </c>
    </row>
    <row r="142" spans="4:66" ht="15.75">
      <c r="D142" s="216">
        <f t="shared" si="103"/>
        <v>11.400000000000006</v>
      </c>
      <c r="E142" s="216">
        <f t="shared" si="99"/>
        <v>1</v>
      </c>
      <c r="N142" s="216">
        <f t="shared" si="104"/>
        <v>3.2500000000000027</v>
      </c>
      <c r="O142" s="216">
        <f t="shared" si="100"/>
        <v>63</v>
      </c>
      <c r="X142" s="216">
        <f t="shared" si="105"/>
        <v>3.7500000000000027</v>
      </c>
      <c r="Y142" s="216">
        <f t="shared" si="101"/>
        <v>24</v>
      </c>
      <c r="AI142" s="216">
        <f t="shared" si="106"/>
        <v>8.099999999999989</v>
      </c>
      <c r="AJ142" s="216">
        <f t="shared" si="102"/>
        <v>4</v>
      </c>
      <c r="AS142" s="216">
        <f t="shared" si="107"/>
        <v>2.7500000000000027</v>
      </c>
      <c r="AT142" s="216">
        <f t="shared" si="110"/>
        <v>54</v>
      </c>
      <c r="BC142" s="216">
        <f t="shared" si="108"/>
        <v>3.2500000000000027</v>
      </c>
      <c r="BD142" s="216">
        <f t="shared" si="109"/>
        <v>30</v>
      </c>
      <c r="BM142" s="369">
        <v>27</v>
      </c>
      <c r="BN142" s="369">
        <f t="shared" si="98"/>
        <v>10</v>
      </c>
    </row>
    <row r="143" spans="4:66" ht="15.75">
      <c r="D143" s="216">
        <f t="shared" si="103"/>
        <v>11.300000000000006</v>
      </c>
      <c r="E143" s="216">
        <f t="shared" si="99"/>
        <v>3</v>
      </c>
      <c r="N143" s="216">
        <f t="shared" si="104"/>
        <v>3.200000000000003</v>
      </c>
      <c r="O143" s="216">
        <f t="shared" si="100"/>
        <v>52</v>
      </c>
      <c r="X143" s="216">
        <f t="shared" si="105"/>
        <v>3.700000000000003</v>
      </c>
      <c r="Y143" s="216">
        <f>COUNTIF($X$3:$AG$122,"&lt;="&amp;X143)-COUNTIF($X$3:$AG$122,"&lt;"&amp;X144)</f>
        <v>26</v>
      </c>
      <c r="AI143" s="216">
        <f t="shared" si="106"/>
        <v>8.049999999999988</v>
      </c>
      <c r="AJ143" s="216">
        <f t="shared" si="102"/>
        <v>5</v>
      </c>
      <c r="AS143" s="216">
        <f t="shared" si="107"/>
        <v>2.700000000000003</v>
      </c>
      <c r="AT143" s="216">
        <f t="shared" si="110"/>
        <v>48</v>
      </c>
      <c r="BC143" s="216">
        <f t="shared" si="108"/>
        <v>3.200000000000003</v>
      </c>
      <c r="BD143" s="216">
        <f t="shared" si="109"/>
        <v>34</v>
      </c>
      <c r="BM143" s="369">
        <v>28</v>
      </c>
      <c r="BN143" s="369">
        <f t="shared" si="98"/>
        <v>8</v>
      </c>
    </row>
    <row r="144" spans="4:66" ht="15.75">
      <c r="D144" s="216">
        <f t="shared" si="103"/>
        <v>11.200000000000006</v>
      </c>
      <c r="E144" s="216">
        <f t="shared" si="99"/>
        <v>6</v>
      </c>
      <c r="N144" s="216">
        <f t="shared" si="104"/>
        <v>3.150000000000003</v>
      </c>
      <c r="O144" s="216">
        <f t="shared" si="100"/>
        <v>48</v>
      </c>
      <c r="X144" s="216">
        <f t="shared" si="105"/>
        <v>3.650000000000003</v>
      </c>
      <c r="Y144" s="216">
        <f t="shared" si="101"/>
        <v>20</v>
      </c>
      <c r="AI144" s="216">
        <f>AI143-$AR$126</f>
        <v>7.9999999999999885</v>
      </c>
      <c r="AJ144" s="216">
        <f t="shared" si="102"/>
        <v>3</v>
      </c>
      <c r="AS144" s="216">
        <f t="shared" si="107"/>
        <v>2.650000000000003</v>
      </c>
      <c r="AT144" s="216">
        <f t="shared" si="110"/>
        <v>51</v>
      </c>
      <c r="BC144" s="216">
        <f t="shared" si="108"/>
        <v>3.150000000000003</v>
      </c>
      <c r="BD144" s="216">
        <f t="shared" si="109"/>
        <v>31</v>
      </c>
      <c r="BM144" s="369">
        <v>29</v>
      </c>
      <c r="BN144" s="369">
        <f t="shared" si="98"/>
        <v>12</v>
      </c>
    </row>
    <row r="145" spans="4:66" ht="15.75">
      <c r="D145" s="216">
        <f t="shared" si="103"/>
        <v>11.100000000000007</v>
      </c>
      <c r="E145" s="216">
        <f t="shared" si="99"/>
        <v>4</v>
      </c>
      <c r="N145" s="216">
        <f t="shared" si="104"/>
        <v>3.100000000000003</v>
      </c>
      <c r="O145" s="216">
        <f t="shared" si="100"/>
        <v>32</v>
      </c>
      <c r="X145" s="216">
        <f t="shared" si="105"/>
        <v>3.600000000000003</v>
      </c>
      <c r="Y145" s="216">
        <f t="shared" si="101"/>
        <v>21</v>
      </c>
      <c r="AI145" s="216">
        <f t="shared" si="106"/>
        <v>7.949999999999989</v>
      </c>
      <c r="AJ145" s="216">
        <f t="shared" si="102"/>
        <v>7</v>
      </c>
      <c r="AS145" s="216">
        <f t="shared" si="107"/>
        <v>2.600000000000003</v>
      </c>
      <c r="AT145" s="216">
        <f t="shared" si="110"/>
        <v>36</v>
      </c>
      <c r="BC145" s="216">
        <f t="shared" si="108"/>
        <v>3.100000000000003</v>
      </c>
      <c r="BD145" s="216">
        <f t="shared" si="109"/>
        <v>35</v>
      </c>
      <c r="BM145" s="369">
        <v>30</v>
      </c>
      <c r="BN145" s="369">
        <f t="shared" si="98"/>
        <v>8</v>
      </c>
    </row>
    <row r="146" spans="4:66" ht="15.75">
      <c r="D146" s="216">
        <f t="shared" si="103"/>
        <v>11.000000000000007</v>
      </c>
      <c r="E146" s="216">
        <f t="shared" si="99"/>
        <v>6</v>
      </c>
      <c r="N146" s="216">
        <f t="shared" si="104"/>
        <v>3.0500000000000034</v>
      </c>
      <c r="O146" s="216">
        <f t="shared" si="100"/>
        <v>35</v>
      </c>
      <c r="X146" s="216">
        <f t="shared" si="105"/>
        <v>3.5500000000000034</v>
      </c>
      <c r="Y146" s="216">
        <f t="shared" si="101"/>
        <v>30</v>
      </c>
      <c r="AI146" s="216">
        <f t="shared" si="106"/>
        <v>7.899999999999989</v>
      </c>
      <c r="AJ146" s="216">
        <f t="shared" si="102"/>
        <v>2</v>
      </c>
      <c r="AS146" s="216">
        <f t="shared" si="107"/>
        <v>2.5500000000000034</v>
      </c>
      <c r="AT146" s="216">
        <f t="shared" si="110"/>
        <v>37</v>
      </c>
      <c r="BC146" s="216">
        <f t="shared" si="108"/>
        <v>3.0500000000000034</v>
      </c>
      <c r="BD146" s="216">
        <f t="shared" si="109"/>
        <v>33</v>
      </c>
      <c r="BM146" s="369">
        <v>31</v>
      </c>
      <c r="BN146" s="369">
        <f t="shared" si="98"/>
        <v>5</v>
      </c>
    </row>
    <row r="147" spans="4:66" ht="15.75">
      <c r="D147" s="216">
        <f t="shared" si="103"/>
        <v>10.900000000000007</v>
      </c>
      <c r="E147" s="216">
        <f t="shared" si="99"/>
        <v>4</v>
      </c>
      <c r="N147" s="216">
        <f t="shared" si="104"/>
        <v>3.0000000000000036</v>
      </c>
      <c r="O147" s="216">
        <f t="shared" si="100"/>
        <v>37</v>
      </c>
      <c r="X147" s="216">
        <f t="shared" si="105"/>
        <v>3.5000000000000036</v>
      </c>
      <c r="Y147" s="216">
        <f t="shared" si="101"/>
        <v>30</v>
      </c>
      <c r="AI147" s="216">
        <f t="shared" si="106"/>
        <v>7.849999999999989</v>
      </c>
      <c r="AJ147" s="216">
        <f t="shared" si="102"/>
        <v>9</v>
      </c>
      <c r="AS147" s="216">
        <f t="shared" si="107"/>
        <v>2.5000000000000036</v>
      </c>
      <c r="AT147" s="216">
        <f t="shared" si="110"/>
        <v>32</v>
      </c>
      <c r="BC147" s="216">
        <f t="shared" si="108"/>
        <v>3.0000000000000036</v>
      </c>
      <c r="BD147" s="216">
        <f t="shared" si="109"/>
        <v>32</v>
      </c>
      <c r="BM147" s="369">
        <v>32</v>
      </c>
      <c r="BN147" s="369">
        <f t="shared" si="98"/>
        <v>4</v>
      </c>
    </row>
    <row r="148" spans="4:66" ht="15.75">
      <c r="D148" s="216">
        <f t="shared" si="103"/>
        <v>10.800000000000008</v>
      </c>
      <c r="E148" s="216">
        <f t="shared" si="99"/>
        <v>8</v>
      </c>
      <c r="N148" s="216">
        <f t="shared" si="104"/>
        <v>2.9500000000000037</v>
      </c>
      <c r="O148" s="216">
        <f t="shared" si="100"/>
        <v>36</v>
      </c>
      <c r="X148" s="216">
        <f t="shared" si="105"/>
        <v>3.4500000000000037</v>
      </c>
      <c r="Y148" s="216">
        <f t="shared" si="101"/>
        <v>23</v>
      </c>
      <c r="AI148" s="216">
        <f t="shared" si="106"/>
        <v>7.799999999999989</v>
      </c>
      <c r="AJ148" s="216">
        <f t="shared" si="102"/>
        <v>9</v>
      </c>
      <c r="AS148" s="216">
        <f t="shared" si="107"/>
        <v>2.4500000000000037</v>
      </c>
      <c r="AT148" s="216">
        <f t="shared" si="110"/>
        <v>34</v>
      </c>
      <c r="BC148" s="216">
        <f t="shared" si="108"/>
        <v>2.9500000000000037</v>
      </c>
      <c r="BD148" s="216">
        <f t="shared" si="109"/>
        <v>19</v>
      </c>
      <c r="BM148" s="369">
        <v>33</v>
      </c>
      <c r="BN148" s="369">
        <f t="shared" si="98"/>
        <v>3</v>
      </c>
    </row>
    <row r="149" spans="4:66" ht="15.75">
      <c r="D149" s="216">
        <f t="shared" si="103"/>
        <v>10.700000000000008</v>
      </c>
      <c r="E149" s="216">
        <f t="shared" si="99"/>
        <v>18</v>
      </c>
      <c r="N149" s="216">
        <f t="shared" si="104"/>
        <v>2.900000000000004</v>
      </c>
      <c r="O149" s="216">
        <f t="shared" si="100"/>
        <v>33</v>
      </c>
      <c r="X149" s="216">
        <f t="shared" si="105"/>
        <v>3.400000000000004</v>
      </c>
      <c r="Y149" s="216">
        <f t="shared" si="101"/>
        <v>33</v>
      </c>
      <c r="AI149" s="216">
        <f t="shared" si="106"/>
        <v>7.749999999999989</v>
      </c>
      <c r="AJ149" s="216">
        <f t="shared" si="102"/>
        <v>13</v>
      </c>
      <c r="AS149" s="216">
        <f t="shared" si="107"/>
        <v>2.400000000000004</v>
      </c>
      <c r="AT149" s="216">
        <f t="shared" si="110"/>
        <v>35</v>
      </c>
      <c r="BC149" s="216">
        <f>BC148-$AR$126</f>
        <v>2.900000000000004</v>
      </c>
      <c r="BD149" s="216">
        <f t="shared" si="109"/>
        <v>16</v>
      </c>
      <c r="BM149" s="369">
        <v>34</v>
      </c>
      <c r="BN149" s="369">
        <f t="shared" si="98"/>
        <v>0</v>
      </c>
    </row>
    <row r="150" spans="4:66" ht="15.75">
      <c r="D150" s="216">
        <f t="shared" si="103"/>
        <v>10.600000000000009</v>
      </c>
      <c r="E150" s="216">
        <f t="shared" si="99"/>
        <v>9</v>
      </c>
      <c r="N150" s="216">
        <f t="shared" si="104"/>
        <v>2.850000000000004</v>
      </c>
      <c r="O150" s="216">
        <f t="shared" si="100"/>
        <v>35</v>
      </c>
      <c r="X150" s="216">
        <f t="shared" si="105"/>
        <v>3.350000000000004</v>
      </c>
      <c r="Y150" s="216">
        <f t="shared" si="101"/>
        <v>19</v>
      </c>
      <c r="AI150" s="216">
        <f t="shared" si="106"/>
        <v>7.6999999999999895</v>
      </c>
      <c r="AJ150" s="216">
        <f t="shared" si="102"/>
        <v>11</v>
      </c>
      <c r="AS150" s="216">
        <f t="shared" si="107"/>
        <v>2.350000000000004</v>
      </c>
      <c r="AT150" s="216">
        <f t="shared" si="110"/>
        <v>53</v>
      </c>
      <c r="BC150" s="216">
        <f t="shared" si="108"/>
        <v>2.850000000000004</v>
      </c>
      <c r="BD150" s="216">
        <f t="shared" si="109"/>
        <v>19</v>
      </c>
      <c r="BM150" s="369">
        <v>35</v>
      </c>
      <c r="BN150" s="369">
        <f t="shared" si="98"/>
        <v>2</v>
      </c>
    </row>
    <row r="151" spans="4:66" ht="15.75">
      <c r="D151" s="216">
        <f t="shared" si="103"/>
        <v>10.500000000000009</v>
      </c>
      <c r="E151" s="216">
        <f t="shared" si="99"/>
        <v>13</v>
      </c>
      <c r="N151" s="216">
        <f t="shared" si="104"/>
        <v>2.8000000000000043</v>
      </c>
      <c r="O151" s="216">
        <f t="shared" si="100"/>
        <v>37</v>
      </c>
      <c r="X151" s="216">
        <f t="shared" si="105"/>
        <v>3.3000000000000043</v>
      </c>
      <c r="Y151" s="216">
        <f t="shared" si="101"/>
        <v>24</v>
      </c>
      <c r="AI151" s="216">
        <f t="shared" si="106"/>
        <v>7.64999999999999</v>
      </c>
      <c r="AJ151" s="216">
        <f t="shared" si="102"/>
        <v>14</v>
      </c>
      <c r="AS151" s="216">
        <f t="shared" si="107"/>
        <v>2.3000000000000043</v>
      </c>
      <c r="AT151" s="216">
        <f t="shared" si="110"/>
        <v>74</v>
      </c>
      <c r="BC151" s="216">
        <f t="shared" si="108"/>
        <v>2.8000000000000043</v>
      </c>
      <c r="BD151" s="216">
        <f t="shared" si="109"/>
        <v>13</v>
      </c>
      <c r="BM151" s="369">
        <v>36</v>
      </c>
      <c r="BN151" s="369">
        <f t="shared" si="98"/>
        <v>1</v>
      </c>
    </row>
    <row r="152" spans="4:66" ht="15.75">
      <c r="D152" s="216">
        <f t="shared" si="103"/>
        <v>10.40000000000001</v>
      </c>
      <c r="E152" s="216">
        <f t="shared" si="99"/>
        <v>12</v>
      </c>
      <c r="N152" s="216">
        <f t="shared" si="104"/>
        <v>2.7500000000000044</v>
      </c>
      <c r="O152" s="216">
        <f t="shared" si="100"/>
        <v>58</v>
      </c>
      <c r="X152" s="216">
        <f t="shared" si="105"/>
        <v>3.2500000000000044</v>
      </c>
      <c r="Y152" s="216">
        <f t="shared" si="101"/>
        <v>32</v>
      </c>
      <c r="AI152" s="216">
        <f t="shared" si="106"/>
        <v>7.59999999999999</v>
      </c>
      <c r="AJ152" s="216">
        <f t="shared" si="102"/>
        <v>8</v>
      </c>
      <c r="AS152" s="216">
        <f t="shared" si="107"/>
        <v>2.2500000000000044</v>
      </c>
      <c r="AT152" s="216">
        <f t="shared" si="110"/>
        <v>90</v>
      </c>
      <c r="BC152" s="216">
        <f t="shared" si="108"/>
        <v>2.7500000000000044</v>
      </c>
      <c r="BD152" s="216">
        <f t="shared" si="109"/>
        <v>20</v>
      </c>
      <c r="BM152" s="369">
        <v>37</v>
      </c>
      <c r="BN152" s="369">
        <f t="shared" si="98"/>
        <v>2</v>
      </c>
    </row>
    <row r="153" spans="4:66" ht="15.75">
      <c r="D153" s="216">
        <f t="shared" si="103"/>
        <v>10.30000000000001</v>
      </c>
      <c r="E153" s="216">
        <f t="shared" si="99"/>
        <v>25</v>
      </c>
      <c r="N153" s="216">
        <f t="shared" si="104"/>
        <v>2.7000000000000046</v>
      </c>
      <c r="O153" s="216">
        <f t="shared" si="100"/>
        <v>62</v>
      </c>
      <c r="X153" s="216">
        <f t="shared" si="105"/>
        <v>3.2000000000000046</v>
      </c>
      <c r="Y153" s="216">
        <f t="shared" si="101"/>
        <v>24</v>
      </c>
      <c r="AI153" s="216">
        <f t="shared" si="106"/>
        <v>7.54999999999999</v>
      </c>
      <c r="AJ153" s="216">
        <f t="shared" si="102"/>
        <v>14</v>
      </c>
      <c r="AS153" s="216">
        <f t="shared" si="107"/>
        <v>2.2000000000000046</v>
      </c>
      <c r="AT153" s="216">
        <f t="shared" si="110"/>
        <v>90</v>
      </c>
      <c r="BC153" s="216">
        <f t="shared" si="108"/>
        <v>2.7000000000000046</v>
      </c>
      <c r="BD153" s="216">
        <f t="shared" si="109"/>
        <v>23</v>
      </c>
      <c r="BM153" s="369">
        <v>38</v>
      </c>
      <c r="BN153" s="369">
        <f t="shared" si="98"/>
        <v>1</v>
      </c>
    </row>
    <row r="154" spans="4:66" ht="15.75">
      <c r="D154" s="216">
        <f t="shared" si="103"/>
        <v>10.20000000000001</v>
      </c>
      <c r="E154" s="216">
        <f t="shared" si="99"/>
        <v>32</v>
      </c>
      <c r="N154" s="216">
        <f t="shared" si="104"/>
        <v>2.650000000000005</v>
      </c>
      <c r="O154" s="216">
        <f t="shared" si="100"/>
        <v>56</v>
      </c>
      <c r="X154" s="216">
        <f t="shared" si="105"/>
        <v>3.150000000000005</v>
      </c>
      <c r="Y154" s="216">
        <f t="shared" si="101"/>
        <v>16</v>
      </c>
      <c r="AI154" s="216">
        <f t="shared" si="106"/>
        <v>7.49999999999999</v>
      </c>
      <c r="AJ154" s="216">
        <f t="shared" si="102"/>
        <v>8</v>
      </c>
      <c r="AS154" s="216">
        <f t="shared" si="107"/>
        <v>2.150000000000005</v>
      </c>
      <c r="AT154" s="216">
        <f t="shared" si="110"/>
        <v>67</v>
      </c>
      <c r="BC154" s="216">
        <f t="shared" si="108"/>
        <v>2.650000000000005</v>
      </c>
      <c r="BD154" s="216">
        <f t="shared" si="109"/>
        <v>26</v>
      </c>
      <c r="BM154" s="369">
        <v>39</v>
      </c>
      <c r="BN154" s="369">
        <f t="shared" si="98"/>
        <v>0</v>
      </c>
    </row>
    <row r="155" spans="4:66" ht="15.75">
      <c r="D155" s="216">
        <f t="shared" si="103"/>
        <v>10.10000000000001</v>
      </c>
      <c r="E155" s="216">
        <f t="shared" si="99"/>
        <v>29</v>
      </c>
      <c r="N155" s="216">
        <f t="shared" si="104"/>
        <v>2.600000000000005</v>
      </c>
      <c r="O155" s="216">
        <f t="shared" si="100"/>
        <v>54</v>
      </c>
      <c r="X155" s="216">
        <f t="shared" si="105"/>
        <v>3.100000000000005</v>
      </c>
      <c r="Y155" s="216">
        <f t="shared" si="101"/>
        <v>29</v>
      </c>
      <c r="AI155" s="216">
        <f t="shared" si="106"/>
        <v>7.44999999999999</v>
      </c>
      <c r="AJ155" s="216">
        <f t="shared" si="102"/>
        <v>17</v>
      </c>
      <c r="AS155" s="216">
        <f t="shared" si="107"/>
        <v>2.100000000000005</v>
      </c>
      <c r="AT155" s="216">
        <f t="shared" si="110"/>
        <v>32</v>
      </c>
      <c r="BC155" s="216">
        <f t="shared" si="108"/>
        <v>2.600000000000005</v>
      </c>
      <c r="BD155" s="216">
        <f t="shared" si="109"/>
        <v>28</v>
      </c>
      <c r="BM155" s="369">
        <v>40</v>
      </c>
      <c r="BN155" s="369">
        <f t="shared" si="98"/>
        <v>0</v>
      </c>
    </row>
    <row r="156" spans="4:66" ht="15.75">
      <c r="D156" s="216">
        <f t="shared" si="103"/>
        <v>10.00000000000001</v>
      </c>
      <c r="E156" s="216">
        <f t="shared" si="99"/>
        <v>14</v>
      </c>
      <c r="N156" s="216">
        <f t="shared" si="104"/>
        <v>2.550000000000005</v>
      </c>
      <c r="O156" s="216">
        <f t="shared" si="100"/>
        <v>49</v>
      </c>
      <c r="X156" s="216">
        <f t="shared" si="105"/>
        <v>3.050000000000005</v>
      </c>
      <c r="Y156" s="216">
        <f t="shared" si="101"/>
        <v>21</v>
      </c>
      <c r="AI156" s="216">
        <f t="shared" si="106"/>
        <v>7.399999999999991</v>
      </c>
      <c r="AJ156" s="216">
        <f t="shared" si="102"/>
        <v>22</v>
      </c>
      <c r="AS156" s="216">
        <f t="shared" si="107"/>
        <v>2.050000000000005</v>
      </c>
      <c r="AT156" s="216">
        <f t="shared" si="110"/>
        <v>36</v>
      </c>
      <c r="BC156" s="216">
        <f t="shared" si="108"/>
        <v>2.550000000000005</v>
      </c>
      <c r="BD156" s="216">
        <f t="shared" si="109"/>
        <v>25</v>
      </c>
      <c r="BM156" s="369">
        <v>41</v>
      </c>
      <c r="BN156" s="369">
        <f t="shared" si="98"/>
        <v>1</v>
      </c>
    </row>
    <row r="157" spans="4:66" ht="15.75">
      <c r="D157" s="216">
        <f t="shared" si="103"/>
        <v>9.900000000000011</v>
      </c>
      <c r="E157" s="216">
        <f t="shared" si="99"/>
        <v>21</v>
      </c>
      <c r="N157" s="216">
        <f t="shared" si="104"/>
        <v>2.5000000000000053</v>
      </c>
      <c r="O157" s="216">
        <f t="shared" si="100"/>
        <v>51</v>
      </c>
      <c r="X157" s="216">
        <f t="shared" si="105"/>
        <v>3.0000000000000053</v>
      </c>
      <c r="Y157" s="216">
        <f t="shared" si="101"/>
        <v>29</v>
      </c>
      <c r="AI157" s="216">
        <f t="shared" si="106"/>
        <v>7.349999999999991</v>
      </c>
      <c r="AJ157" s="216">
        <f t="shared" si="102"/>
        <v>17</v>
      </c>
      <c r="AS157" s="216">
        <f t="shared" si="107"/>
        <v>2.0000000000000053</v>
      </c>
      <c r="AT157" s="216">
        <f t="shared" si="110"/>
        <v>19</v>
      </c>
      <c r="BC157" s="216">
        <f t="shared" si="108"/>
        <v>2.5000000000000053</v>
      </c>
      <c r="BD157" s="216">
        <f t="shared" si="109"/>
        <v>19</v>
      </c>
      <c r="BM157" s="369">
        <v>42</v>
      </c>
      <c r="BN157" s="369">
        <f t="shared" si="98"/>
        <v>0</v>
      </c>
    </row>
    <row r="158" spans="4:66" ht="15.75">
      <c r="D158" s="216">
        <f t="shared" si="103"/>
        <v>9.800000000000011</v>
      </c>
      <c r="E158" s="216">
        <f t="shared" si="99"/>
        <v>31</v>
      </c>
      <c r="N158" s="216">
        <f t="shared" si="104"/>
        <v>2.4500000000000055</v>
      </c>
      <c r="O158" s="216">
        <f t="shared" si="100"/>
        <v>34</v>
      </c>
      <c r="X158" s="216">
        <f t="shared" si="105"/>
        <v>2.9500000000000055</v>
      </c>
      <c r="Y158" s="216">
        <f t="shared" si="101"/>
        <v>21</v>
      </c>
      <c r="AI158" s="216">
        <f t="shared" si="106"/>
        <v>7.299999999999991</v>
      </c>
      <c r="AJ158" s="216">
        <f t="shared" si="102"/>
        <v>19</v>
      </c>
      <c r="AS158" s="216">
        <f t="shared" si="107"/>
        <v>1.9500000000000053</v>
      </c>
      <c r="AT158" s="216">
        <f t="shared" si="110"/>
        <v>11</v>
      </c>
      <c r="BC158" s="216">
        <f t="shared" si="108"/>
        <v>2.4500000000000055</v>
      </c>
      <c r="BD158" s="216">
        <f t="shared" si="109"/>
        <v>31</v>
      </c>
      <c r="BM158" s="369">
        <v>43</v>
      </c>
      <c r="BN158" s="369">
        <f t="shared" si="98"/>
        <v>0</v>
      </c>
    </row>
    <row r="159" spans="4:65" ht="15.75">
      <c r="D159" s="216">
        <f t="shared" si="103"/>
        <v>9.700000000000012</v>
      </c>
      <c r="E159" s="216">
        <f t="shared" si="99"/>
        <v>32</v>
      </c>
      <c r="N159" s="216">
        <f t="shared" si="104"/>
        <v>2.4000000000000057</v>
      </c>
      <c r="O159" s="216">
        <f t="shared" si="100"/>
        <v>21</v>
      </c>
      <c r="X159" s="216">
        <f t="shared" si="105"/>
        <v>2.9000000000000057</v>
      </c>
      <c r="Y159" s="216">
        <f t="shared" si="101"/>
        <v>21</v>
      </c>
      <c r="AI159" s="216">
        <f t="shared" si="106"/>
        <v>7.249999999999991</v>
      </c>
      <c r="AJ159" s="216">
        <f t="shared" si="102"/>
        <v>20</v>
      </c>
      <c r="AS159" s="216">
        <f t="shared" si="107"/>
        <v>1.9000000000000052</v>
      </c>
      <c r="AT159" s="216">
        <f t="shared" si="110"/>
        <v>1</v>
      </c>
      <c r="BC159" s="216">
        <f t="shared" si="108"/>
        <v>2.4000000000000057</v>
      </c>
      <c r="BD159" s="216">
        <f t="shared" si="109"/>
        <v>25</v>
      </c>
      <c r="BM159" s="369">
        <v>44</v>
      </c>
    </row>
    <row r="160" spans="4:56" ht="15.75">
      <c r="D160" s="216">
        <f t="shared" si="103"/>
        <v>9.600000000000012</v>
      </c>
      <c r="E160" s="216">
        <f t="shared" si="99"/>
        <v>47</v>
      </c>
      <c r="N160" s="216">
        <f t="shared" si="104"/>
        <v>2.350000000000006</v>
      </c>
      <c r="O160" s="216">
        <f t="shared" si="100"/>
        <v>18</v>
      </c>
      <c r="X160" s="216">
        <f t="shared" si="105"/>
        <v>2.850000000000006</v>
      </c>
      <c r="Y160" s="216">
        <f t="shared" si="101"/>
        <v>21</v>
      </c>
      <c r="AI160" s="216">
        <f>AI159-$AR$126</f>
        <v>7.199999999999991</v>
      </c>
      <c r="AJ160" s="216">
        <f t="shared" si="102"/>
        <v>31</v>
      </c>
      <c r="AS160" s="216">
        <f t="shared" si="107"/>
        <v>1.8500000000000052</v>
      </c>
      <c r="AT160" s="216">
        <f>COUNTIF($AS$3:$BB$122,"&lt;="&amp;AS160)-COUNTIF($AS$3:$BB$122,"&lt;"&amp;AS161)</f>
        <v>0</v>
      </c>
      <c r="BC160" s="216">
        <f t="shared" si="108"/>
        <v>2.350000000000006</v>
      </c>
      <c r="BD160" s="216">
        <f t="shared" si="109"/>
        <v>18</v>
      </c>
    </row>
    <row r="161" spans="4:56" ht="15.75">
      <c r="D161" s="216">
        <f t="shared" si="103"/>
        <v>9.500000000000012</v>
      </c>
      <c r="E161" s="216">
        <f t="shared" si="99"/>
        <v>53</v>
      </c>
      <c r="N161" s="216">
        <f t="shared" si="104"/>
        <v>2.300000000000006</v>
      </c>
      <c r="O161" s="216">
        <f t="shared" si="100"/>
        <v>5</v>
      </c>
      <c r="X161" s="216">
        <f t="shared" si="105"/>
        <v>2.800000000000006</v>
      </c>
      <c r="Y161" s="216">
        <f t="shared" si="101"/>
        <v>26</v>
      </c>
      <c r="AI161" s="216">
        <f t="shared" si="106"/>
        <v>7.1499999999999915</v>
      </c>
      <c r="AJ161" s="216">
        <f t="shared" si="102"/>
        <v>21</v>
      </c>
      <c r="BC161" s="216">
        <f t="shared" si="108"/>
        <v>2.300000000000006</v>
      </c>
      <c r="BD161" s="216">
        <f t="shared" si="109"/>
        <v>20</v>
      </c>
    </row>
    <row r="162" spans="4:56" ht="15.75">
      <c r="D162" s="216">
        <f t="shared" si="103"/>
        <v>9.400000000000013</v>
      </c>
      <c r="E162" s="216">
        <f t="shared" si="99"/>
        <v>47</v>
      </c>
      <c r="N162" s="216">
        <f t="shared" si="104"/>
        <v>2.250000000000006</v>
      </c>
      <c r="O162" s="216">
        <f t="shared" si="100"/>
        <v>6</v>
      </c>
      <c r="X162" s="216">
        <f t="shared" si="105"/>
        <v>2.750000000000006</v>
      </c>
      <c r="Y162" s="216">
        <f t="shared" si="101"/>
        <v>17</v>
      </c>
      <c r="AI162" s="216">
        <f t="shared" si="106"/>
        <v>7.099999999999992</v>
      </c>
      <c r="AJ162" s="216">
        <f t="shared" si="102"/>
        <v>17</v>
      </c>
      <c r="BC162" s="216">
        <f t="shared" si="108"/>
        <v>2.250000000000006</v>
      </c>
      <c r="BD162" s="216">
        <f t="shared" si="109"/>
        <v>21</v>
      </c>
    </row>
    <row r="163" spans="4:56" ht="15.75">
      <c r="D163" s="216">
        <f t="shared" si="103"/>
        <v>9.300000000000013</v>
      </c>
      <c r="E163" s="216">
        <f t="shared" si="99"/>
        <v>45</v>
      </c>
      <c r="N163" s="216">
        <f t="shared" si="104"/>
        <v>2.2000000000000064</v>
      </c>
      <c r="O163" s="216">
        <f t="shared" si="100"/>
        <v>6</v>
      </c>
      <c r="X163" s="216">
        <f t="shared" si="105"/>
        <v>2.7000000000000064</v>
      </c>
      <c r="Y163" s="216">
        <f t="shared" si="101"/>
        <v>18</v>
      </c>
      <c r="AI163" s="216">
        <f t="shared" si="106"/>
        <v>7.049999999999992</v>
      </c>
      <c r="AJ163" s="216">
        <f t="shared" si="102"/>
        <v>35</v>
      </c>
      <c r="BC163" s="216">
        <f t="shared" si="108"/>
        <v>2.2000000000000064</v>
      </c>
      <c r="BD163" s="216">
        <f t="shared" si="109"/>
        <v>36</v>
      </c>
    </row>
    <row r="164" spans="4:56" ht="15.75">
      <c r="D164" s="216">
        <f t="shared" si="103"/>
        <v>9.200000000000014</v>
      </c>
      <c r="E164" s="216">
        <f t="shared" si="99"/>
        <v>40</v>
      </c>
      <c r="N164" s="216">
        <f t="shared" si="104"/>
        <v>2.1500000000000066</v>
      </c>
      <c r="O164" s="216">
        <f t="shared" si="100"/>
        <v>1</v>
      </c>
      <c r="X164" s="216">
        <f t="shared" si="105"/>
        <v>2.6500000000000066</v>
      </c>
      <c r="Y164" s="216">
        <f t="shared" si="101"/>
        <v>27</v>
      </c>
      <c r="AI164" s="216">
        <f t="shared" si="106"/>
        <v>6.999999999999992</v>
      </c>
      <c r="AJ164" s="216">
        <f t="shared" si="102"/>
        <v>30</v>
      </c>
      <c r="BC164" s="216">
        <f t="shared" si="108"/>
        <v>2.1500000000000066</v>
      </c>
      <c r="BD164" s="216">
        <f t="shared" si="109"/>
        <v>39</v>
      </c>
    </row>
    <row r="165" spans="4:56" ht="15.75">
      <c r="D165" s="216">
        <f t="shared" si="103"/>
        <v>9.100000000000014</v>
      </c>
      <c r="E165" s="216">
        <f t="shared" si="99"/>
        <v>54</v>
      </c>
      <c r="N165" s="216">
        <f t="shared" si="104"/>
        <v>2.1000000000000068</v>
      </c>
      <c r="O165" s="216">
        <f t="shared" si="100"/>
        <v>0</v>
      </c>
      <c r="X165" s="216">
        <f t="shared" si="105"/>
        <v>2.6000000000000068</v>
      </c>
      <c r="Y165" s="216">
        <f t="shared" si="101"/>
        <v>35</v>
      </c>
      <c r="AI165" s="216">
        <f t="shared" si="106"/>
        <v>6.949999999999992</v>
      </c>
      <c r="AJ165" s="216">
        <f t="shared" si="102"/>
        <v>17</v>
      </c>
      <c r="BC165" s="216">
        <f t="shared" si="108"/>
        <v>2.1000000000000068</v>
      </c>
      <c r="BD165" s="216">
        <f t="shared" si="109"/>
        <v>39</v>
      </c>
    </row>
    <row r="166" spans="4:56" ht="15.75">
      <c r="D166" s="216">
        <f t="shared" si="103"/>
        <v>9.000000000000014</v>
      </c>
      <c r="E166" s="216">
        <f t="shared" si="99"/>
        <v>43</v>
      </c>
      <c r="N166" s="216">
        <f t="shared" si="104"/>
        <v>2.050000000000007</v>
      </c>
      <c r="O166" s="216">
        <f t="shared" si="100"/>
        <v>0</v>
      </c>
      <c r="X166" s="216">
        <f t="shared" si="105"/>
        <v>2.550000000000007</v>
      </c>
      <c r="Y166" s="216">
        <f t="shared" si="101"/>
        <v>34</v>
      </c>
      <c r="AI166" s="216">
        <f t="shared" si="106"/>
        <v>6.899999999999992</v>
      </c>
      <c r="AJ166" s="216">
        <f t="shared" si="102"/>
        <v>34</v>
      </c>
      <c r="BC166" s="216">
        <f t="shared" si="108"/>
        <v>2.050000000000007</v>
      </c>
      <c r="BD166" s="216">
        <f t="shared" si="109"/>
        <v>28</v>
      </c>
    </row>
    <row r="167" spans="4:56" ht="15.75">
      <c r="D167" s="216">
        <f t="shared" si="103"/>
        <v>8.900000000000015</v>
      </c>
      <c r="E167" s="216">
        <f t="shared" si="99"/>
        <v>47</v>
      </c>
      <c r="N167" s="216">
        <f t="shared" si="104"/>
        <v>2.000000000000007</v>
      </c>
      <c r="O167" s="216">
        <f t="shared" si="100"/>
        <v>0</v>
      </c>
      <c r="X167" s="216">
        <f t="shared" si="105"/>
        <v>2.500000000000007</v>
      </c>
      <c r="Y167" s="216">
        <f t="shared" si="101"/>
        <v>36</v>
      </c>
      <c r="AI167" s="216">
        <f t="shared" si="106"/>
        <v>6.8499999999999925</v>
      </c>
      <c r="AJ167" s="216">
        <f t="shared" si="102"/>
        <v>26</v>
      </c>
      <c r="BC167" s="216">
        <f t="shared" si="108"/>
        <v>2.000000000000007</v>
      </c>
      <c r="BD167" s="216">
        <f t="shared" si="109"/>
        <v>32</v>
      </c>
    </row>
    <row r="168" spans="4:56" ht="15.75">
      <c r="D168" s="216">
        <f t="shared" si="103"/>
        <v>8.800000000000015</v>
      </c>
      <c r="E168" s="216">
        <f t="shared" si="99"/>
        <v>42</v>
      </c>
      <c r="N168" s="216">
        <f t="shared" si="104"/>
        <v>1.950000000000007</v>
      </c>
      <c r="O168" s="216">
        <f t="shared" si="100"/>
        <v>0</v>
      </c>
      <c r="X168" s="216">
        <f t="shared" si="105"/>
        <v>2.4500000000000073</v>
      </c>
      <c r="Y168" s="216">
        <f t="shared" si="101"/>
        <v>45</v>
      </c>
      <c r="AI168" s="216">
        <f t="shared" si="106"/>
        <v>6.799999999999993</v>
      </c>
      <c r="AJ168" s="216">
        <f t="shared" si="102"/>
        <v>32</v>
      </c>
      <c r="BC168" s="216">
        <f t="shared" si="108"/>
        <v>1.950000000000007</v>
      </c>
      <c r="BD168" s="216">
        <f t="shared" si="109"/>
        <v>35</v>
      </c>
    </row>
    <row r="169" spans="4:56" ht="15.75">
      <c r="D169" s="216">
        <f t="shared" si="103"/>
        <v>8.700000000000015</v>
      </c>
      <c r="E169" s="216">
        <f t="shared" si="99"/>
        <v>40</v>
      </c>
      <c r="X169" s="216">
        <f t="shared" si="105"/>
        <v>2.4000000000000075</v>
      </c>
      <c r="Y169" s="216">
        <f t="shared" si="101"/>
        <v>39</v>
      </c>
      <c r="AI169" s="216">
        <f t="shared" si="106"/>
        <v>6.749999999999993</v>
      </c>
      <c r="AJ169" s="216">
        <f t="shared" si="102"/>
        <v>29</v>
      </c>
      <c r="BC169" s="216">
        <f t="shared" si="108"/>
        <v>1.900000000000007</v>
      </c>
      <c r="BD169" s="216">
        <f t="shared" si="109"/>
        <v>38</v>
      </c>
    </row>
    <row r="170" spans="4:56" ht="15.75">
      <c r="D170" s="216">
        <f t="shared" si="103"/>
        <v>8.600000000000016</v>
      </c>
      <c r="E170" s="216">
        <f t="shared" si="99"/>
        <v>39</v>
      </c>
      <c r="X170" s="216">
        <f t="shared" si="105"/>
        <v>2.3500000000000076</v>
      </c>
      <c r="Y170" s="216">
        <f t="shared" si="101"/>
        <v>30</v>
      </c>
      <c r="AI170" s="216">
        <f t="shared" si="106"/>
        <v>6.699999999999993</v>
      </c>
      <c r="AJ170" s="216">
        <f t="shared" si="102"/>
        <v>22</v>
      </c>
      <c r="BC170" s="216">
        <f t="shared" si="108"/>
        <v>1.850000000000007</v>
      </c>
      <c r="BD170" s="216">
        <f t="shared" si="109"/>
        <v>31</v>
      </c>
    </row>
    <row r="171" spans="4:56" ht="15.75">
      <c r="D171" s="216">
        <f t="shared" si="103"/>
        <v>8.500000000000016</v>
      </c>
      <c r="E171" s="216">
        <f t="shared" si="99"/>
        <v>45</v>
      </c>
      <c r="X171" s="216">
        <f t="shared" si="105"/>
        <v>2.300000000000008</v>
      </c>
      <c r="Y171" s="216">
        <f t="shared" si="101"/>
        <v>33</v>
      </c>
      <c r="AI171" s="216">
        <f t="shared" si="106"/>
        <v>6.649999999999993</v>
      </c>
      <c r="AJ171" s="216">
        <f t="shared" si="102"/>
        <v>22</v>
      </c>
      <c r="BC171" s="216">
        <f t="shared" si="108"/>
        <v>1.800000000000007</v>
      </c>
      <c r="BD171" s="216">
        <f t="shared" si="109"/>
        <v>28</v>
      </c>
    </row>
    <row r="172" spans="4:56" ht="15.75">
      <c r="D172" s="216">
        <f t="shared" si="103"/>
        <v>8.400000000000016</v>
      </c>
      <c r="E172" s="216">
        <f t="shared" si="99"/>
        <v>26</v>
      </c>
      <c r="X172" s="216">
        <f t="shared" si="105"/>
        <v>2.250000000000008</v>
      </c>
      <c r="Y172" s="216">
        <f t="shared" si="101"/>
        <v>23</v>
      </c>
      <c r="AI172" s="216">
        <f t="shared" si="106"/>
        <v>6.599999999999993</v>
      </c>
      <c r="AJ172" s="216">
        <f t="shared" si="102"/>
        <v>34</v>
      </c>
      <c r="BC172" s="216">
        <f t="shared" si="108"/>
        <v>1.7500000000000069</v>
      </c>
      <c r="BD172" s="216">
        <f t="shared" si="109"/>
        <v>34</v>
      </c>
    </row>
    <row r="173" spans="4:56" ht="15.75">
      <c r="D173" s="216">
        <f t="shared" si="103"/>
        <v>8.300000000000017</v>
      </c>
      <c r="E173" s="216">
        <f t="shared" si="99"/>
        <v>25</v>
      </c>
      <c r="X173" s="216">
        <f t="shared" si="105"/>
        <v>2.200000000000008</v>
      </c>
      <c r="Y173" s="216">
        <f t="shared" si="101"/>
        <v>28</v>
      </c>
      <c r="AI173" s="216">
        <f t="shared" si="106"/>
        <v>6.549999999999994</v>
      </c>
      <c r="AJ173" s="216">
        <f t="shared" si="102"/>
        <v>33</v>
      </c>
      <c r="BC173" s="216">
        <f t="shared" si="108"/>
        <v>1.7000000000000068</v>
      </c>
      <c r="BD173" s="216">
        <f t="shared" si="109"/>
        <v>29</v>
      </c>
    </row>
    <row r="174" spans="4:56" ht="15.75">
      <c r="D174" s="216">
        <f t="shared" si="103"/>
        <v>8.200000000000017</v>
      </c>
      <c r="E174" s="216">
        <f t="shared" si="99"/>
        <v>18</v>
      </c>
      <c r="X174" s="216">
        <f t="shared" si="105"/>
        <v>2.1500000000000083</v>
      </c>
      <c r="Y174" s="216">
        <f t="shared" si="101"/>
        <v>20</v>
      </c>
      <c r="AI174" s="216">
        <f t="shared" si="106"/>
        <v>6.499999999999994</v>
      </c>
      <c r="AJ174" s="216">
        <f t="shared" si="102"/>
        <v>32</v>
      </c>
      <c r="BC174" s="216">
        <f t="shared" si="108"/>
        <v>1.6500000000000068</v>
      </c>
      <c r="BD174" s="216">
        <f t="shared" si="109"/>
        <v>18</v>
      </c>
    </row>
    <row r="175" spans="4:56" ht="15.75">
      <c r="D175" s="216">
        <f t="shared" si="103"/>
        <v>8.100000000000017</v>
      </c>
      <c r="E175" s="216">
        <f t="shared" si="99"/>
        <v>38</v>
      </c>
      <c r="X175" s="216">
        <f t="shared" si="105"/>
        <v>2.1000000000000085</v>
      </c>
      <c r="Y175" s="216">
        <f t="shared" si="101"/>
        <v>20</v>
      </c>
      <c r="AI175" s="216">
        <f t="shared" si="106"/>
        <v>6.449999999999994</v>
      </c>
      <c r="AJ175" s="216">
        <f t="shared" si="102"/>
        <v>15</v>
      </c>
      <c r="BC175" s="216">
        <f t="shared" si="108"/>
        <v>1.6000000000000068</v>
      </c>
      <c r="BD175" s="216">
        <f t="shared" si="109"/>
        <v>10</v>
      </c>
    </row>
    <row r="176" spans="4:56" ht="15.75">
      <c r="D176" s="216">
        <f t="shared" si="103"/>
        <v>8.000000000000018</v>
      </c>
      <c r="E176" s="216">
        <f t="shared" si="99"/>
        <v>17</v>
      </c>
      <c r="X176" s="216">
        <f t="shared" si="105"/>
        <v>2.0500000000000087</v>
      </c>
      <c r="Y176" s="216">
        <f t="shared" si="101"/>
        <v>18</v>
      </c>
      <c r="AI176" s="216">
        <f>AI175-$AR$126</f>
        <v>6.399999999999994</v>
      </c>
      <c r="AJ176" s="216">
        <f t="shared" si="102"/>
        <v>29</v>
      </c>
      <c r="BC176" s="216">
        <f t="shared" si="108"/>
        <v>1.5500000000000067</v>
      </c>
      <c r="BD176" s="216">
        <f t="shared" si="109"/>
        <v>12</v>
      </c>
    </row>
    <row r="177" spans="4:56" ht="15.75">
      <c r="D177" s="216">
        <f t="shared" si="103"/>
        <v>7.900000000000018</v>
      </c>
      <c r="E177" s="216">
        <f t="shared" si="99"/>
        <v>26</v>
      </c>
      <c r="X177" s="216">
        <f t="shared" si="105"/>
        <v>2.000000000000009</v>
      </c>
      <c r="Y177" s="216">
        <f t="shared" si="101"/>
        <v>17</v>
      </c>
      <c r="AI177" s="216">
        <f>AI176-$AR$126</f>
        <v>6.349999999999994</v>
      </c>
      <c r="AJ177" s="216">
        <f t="shared" si="102"/>
        <v>24</v>
      </c>
      <c r="BC177" s="216">
        <f t="shared" si="108"/>
        <v>1.5000000000000067</v>
      </c>
      <c r="BD177" s="216">
        <f t="shared" si="109"/>
        <v>0</v>
      </c>
    </row>
    <row r="178" spans="4:56" ht="15.75">
      <c r="D178" s="216">
        <f t="shared" si="103"/>
        <v>7.8000000000000185</v>
      </c>
      <c r="E178" s="216">
        <f t="shared" si="99"/>
        <v>23</v>
      </c>
      <c r="X178" s="216">
        <f t="shared" si="105"/>
        <v>1.9500000000000088</v>
      </c>
      <c r="Y178" s="216">
        <f t="shared" si="101"/>
        <v>8</v>
      </c>
      <c r="AI178" s="216">
        <f aca="true" t="shared" si="111" ref="AI178:AI189">AI177-$AR$126</f>
        <v>6.2999999999999945</v>
      </c>
      <c r="AJ178" s="216">
        <f t="shared" si="102"/>
        <v>12</v>
      </c>
      <c r="BC178" s="216">
        <f t="shared" si="108"/>
        <v>1.4500000000000066</v>
      </c>
      <c r="BD178" s="216">
        <f t="shared" si="109"/>
        <v>0</v>
      </c>
    </row>
    <row r="179" spans="4:36" ht="15.75">
      <c r="D179" s="216">
        <f t="shared" si="103"/>
        <v>7.700000000000019</v>
      </c>
      <c r="E179" s="216">
        <f t="shared" si="99"/>
        <v>23</v>
      </c>
      <c r="X179" s="216">
        <f t="shared" si="105"/>
        <v>1.9000000000000088</v>
      </c>
      <c r="Y179" s="216">
        <f t="shared" si="101"/>
        <v>10</v>
      </c>
      <c r="AI179" s="216">
        <f t="shared" si="111"/>
        <v>6.249999999999995</v>
      </c>
      <c r="AJ179" s="216">
        <f t="shared" si="102"/>
        <v>15</v>
      </c>
    </row>
    <row r="180" spans="4:36" ht="15.75">
      <c r="D180" s="216">
        <f t="shared" si="103"/>
        <v>7.600000000000019</v>
      </c>
      <c r="E180" s="216">
        <f t="shared" si="99"/>
        <v>26</v>
      </c>
      <c r="X180" s="216">
        <f t="shared" si="105"/>
        <v>1.8500000000000087</v>
      </c>
      <c r="Y180" s="216">
        <f t="shared" si="101"/>
        <v>4</v>
      </c>
      <c r="AI180" s="216">
        <f t="shared" si="111"/>
        <v>6.199999999999995</v>
      </c>
      <c r="AJ180" s="216">
        <f t="shared" si="102"/>
        <v>15</v>
      </c>
    </row>
    <row r="181" spans="4:36" ht="15.75">
      <c r="D181" s="216">
        <f t="shared" si="103"/>
        <v>7.5000000000000195</v>
      </c>
      <c r="E181" s="216">
        <f t="shared" si="99"/>
        <v>23</v>
      </c>
      <c r="X181" s="216">
        <f t="shared" si="105"/>
        <v>1.8000000000000087</v>
      </c>
      <c r="Y181" s="216">
        <f t="shared" si="101"/>
        <v>1</v>
      </c>
      <c r="AI181" s="216">
        <f t="shared" si="111"/>
        <v>6.149999999999995</v>
      </c>
      <c r="AJ181" s="216">
        <f t="shared" si="102"/>
        <v>25</v>
      </c>
    </row>
    <row r="182" spans="4:36" ht="15.75">
      <c r="D182" s="216">
        <f t="shared" si="103"/>
        <v>7.40000000000002</v>
      </c>
      <c r="E182" s="216">
        <f t="shared" si="99"/>
        <v>18</v>
      </c>
      <c r="X182" s="216">
        <f t="shared" si="105"/>
        <v>1.7500000000000087</v>
      </c>
      <c r="Y182" s="216">
        <f t="shared" si="101"/>
        <v>0</v>
      </c>
      <c r="AI182" s="216">
        <f t="shared" si="111"/>
        <v>6.099999999999995</v>
      </c>
      <c r="AJ182" s="216">
        <f t="shared" si="102"/>
        <v>26</v>
      </c>
    </row>
    <row r="183" spans="4:36" ht="15.75">
      <c r="D183" s="216">
        <f t="shared" si="103"/>
        <v>7.30000000000002</v>
      </c>
      <c r="E183" s="216">
        <f t="shared" si="99"/>
        <v>22</v>
      </c>
      <c r="X183" s="216">
        <f t="shared" si="105"/>
        <v>1.7000000000000086</v>
      </c>
      <c r="Y183" s="216">
        <f t="shared" si="101"/>
        <v>0</v>
      </c>
      <c r="AI183" s="216">
        <f t="shared" si="111"/>
        <v>6.049999999999995</v>
      </c>
      <c r="AJ183" s="216">
        <f t="shared" si="102"/>
        <v>19</v>
      </c>
    </row>
    <row r="184" spans="4:36" ht="15.75">
      <c r="D184" s="216">
        <f t="shared" si="103"/>
        <v>7.200000000000021</v>
      </c>
      <c r="E184" s="216">
        <f t="shared" si="99"/>
        <v>13</v>
      </c>
      <c r="X184" s="216">
        <f t="shared" si="105"/>
        <v>1.6500000000000086</v>
      </c>
      <c r="Y184" s="216">
        <f t="shared" si="101"/>
        <v>0</v>
      </c>
      <c r="AI184" s="216">
        <f t="shared" si="111"/>
        <v>5.999999999999996</v>
      </c>
      <c r="AJ184" s="216">
        <f t="shared" si="102"/>
        <v>14</v>
      </c>
    </row>
    <row r="185" spans="4:36" ht="15.75">
      <c r="D185" s="216">
        <f t="shared" si="103"/>
        <v>7.100000000000021</v>
      </c>
      <c r="E185" s="216">
        <f t="shared" si="99"/>
        <v>14</v>
      </c>
      <c r="X185" s="216">
        <f t="shared" si="105"/>
        <v>1.6000000000000085</v>
      </c>
      <c r="AI185" s="216">
        <f t="shared" si="111"/>
        <v>5.949999999999996</v>
      </c>
      <c r="AJ185" s="216">
        <f t="shared" si="102"/>
        <v>15</v>
      </c>
    </row>
    <row r="186" spans="4:36" ht="15.75">
      <c r="D186" s="216">
        <f t="shared" si="103"/>
        <v>7.000000000000021</v>
      </c>
      <c r="E186" s="216">
        <f t="shared" si="99"/>
        <v>10</v>
      </c>
      <c r="AI186" s="216">
        <f t="shared" si="111"/>
        <v>5.899999999999996</v>
      </c>
      <c r="AJ186" s="216">
        <f t="shared" si="102"/>
        <v>17</v>
      </c>
    </row>
    <row r="187" spans="4:36" ht="15.75">
      <c r="D187" s="216">
        <f t="shared" si="103"/>
        <v>6.900000000000022</v>
      </c>
      <c r="E187" s="216">
        <f t="shared" si="99"/>
        <v>4</v>
      </c>
      <c r="AI187" s="216">
        <f t="shared" si="111"/>
        <v>5.849999999999996</v>
      </c>
      <c r="AJ187" s="216">
        <f t="shared" si="102"/>
        <v>18</v>
      </c>
    </row>
    <row r="188" spans="4:36" ht="15.75">
      <c r="D188" s="216">
        <f t="shared" si="103"/>
        <v>6.800000000000022</v>
      </c>
      <c r="E188" s="216">
        <f t="shared" si="99"/>
        <v>8</v>
      </c>
      <c r="AI188" s="216">
        <f t="shared" si="111"/>
        <v>5.799999999999996</v>
      </c>
      <c r="AJ188" s="216">
        <f t="shared" si="102"/>
        <v>16</v>
      </c>
    </row>
    <row r="189" spans="4:36" ht="15.75">
      <c r="D189" s="216">
        <f t="shared" si="103"/>
        <v>6.700000000000022</v>
      </c>
      <c r="E189" s="216">
        <f t="shared" si="99"/>
        <v>3</v>
      </c>
      <c r="AI189" s="216">
        <f t="shared" si="111"/>
        <v>5.7499999999999964</v>
      </c>
      <c r="AJ189" s="216">
        <f t="shared" si="102"/>
        <v>21</v>
      </c>
    </row>
    <row r="190" spans="4:36" ht="15.75">
      <c r="D190" s="216">
        <f t="shared" si="103"/>
        <v>6.600000000000023</v>
      </c>
      <c r="E190" s="216">
        <f t="shared" si="99"/>
        <v>4</v>
      </c>
      <c r="AI190" s="216">
        <f>AI189-$AR$126</f>
        <v>5.699999999999997</v>
      </c>
      <c r="AJ190" s="216">
        <f t="shared" si="102"/>
        <v>20</v>
      </c>
    </row>
    <row r="191" spans="4:36" ht="15.75">
      <c r="D191" s="216">
        <f t="shared" si="103"/>
        <v>6.500000000000023</v>
      </c>
      <c r="E191" s="216">
        <f t="shared" si="99"/>
        <v>3</v>
      </c>
      <c r="AI191" s="216">
        <f aca="true" t="shared" si="112" ref="AI191:AI210">AI190-$AR$126</f>
        <v>5.649999999999997</v>
      </c>
      <c r="AJ191" s="216">
        <f t="shared" si="102"/>
        <v>16</v>
      </c>
    </row>
    <row r="192" spans="4:36" ht="15.75">
      <c r="D192" s="216">
        <f t="shared" si="103"/>
        <v>6.4000000000000234</v>
      </c>
      <c r="E192" s="216">
        <f aca="true" t="shared" si="113" ref="E192:E202">COUNTIF($D$3:$M$122,"&lt;="&amp;D192)-COUNTIF($D$3:$M$122,"&lt;"&amp;D193)</f>
        <v>0</v>
      </c>
      <c r="AI192" s="216">
        <f t="shared" si="112"/>
        <v>5.599999999999997</v>
      </c>
      <c r="AJ192" s="216">
        <f aca="true" t="shared" si="114" ref="AJ192:AJ220">COUNTIF($AI$3:$AR$122,"&lt;="&amp;AI192)-COUNTIF($AI$3:$AR$122,"&lt;"&amp;AI193)</f>
        <v>21</v>
      </c>
    </row>
    <row r="193" spans="4:36" ht="15.75">
      <c r="D193" s="216">
        <f aca="true" t="shared" si="115" ref="D193:D202">D192-$C$126</f>
        <v>6.300000000000024</v>
      </c>
      <c r="E193" s="216">
        <f t="shared" si="113"/>
        <v>0</v>
      </c>
      <c r="AI193" s="216">
        <f t="shared" si="112"/>
        <v>5.549999999999997</v>
      </c>
      <c r="AJ193" s="216">
        <f t="shared" si="114"/>
        <v>14</v>
      </c>
    </row>
    <row r="194" spans="4:36" ht="15.75">
      <c r="D194" s="216">
        <f t="shared" si="115"/>
        <v>6.200000000000024</v>
      </c>
      <c r="E194" s="216">
        <f t="shared" si="113"/>
        <v>0</v>
      </c>
      <c r="AI194" s="216">
        <f t="shared" si="112"/>
        <v>5.499999999999997</v>
      </c>
      <c r="AJ194" s="216">
        <f t="shared" si="114"/>
        <v>17</v>
      </c>
    </row>
    <row r="195" spans="4:36" ht="15.75">
      <c r="D195" s="216">
        <f t="shared" si="115"/>
        <v>6.1000000000000245</v>
      </c>
      <c r="E195" s="216">
        <f t="shared" si="113"/>
        <v>1</v>
      </c>
      <c r="AI195" s="216">
        <f t="shared" si="112"/>
        <v>5.4499999999999975</v>
      </c>
      <c r="AJ195" s="216">
        <f t="shared" si="114"/>
        <v>19</v>
      </c>
    </row>
    <row r="196" spans="4:36" ht="15.75">
      <c r="D196" s="216">
        <f t="shared" si="115"/>
        <v>6.000000000000025</v>
      </c>
      <c r="E196" s="216">
        <f t="shared" si="113"/>
        <v>0</v>
      </c>
      <c r="AI196" s="216">
        <f t="shared" si="112"/>
        <v>5.399999999999998</v>
      </c>
      <c r="AJ196" s="216">
        <f t="shared" si="114"/>
        <v>13</v>
      </c>
    </row>
    <row r="197" spans="4:36" ht="15.75">
      <c r="D197" s="216">
        <f t="shared" si="115"/>
        <v>5.900000000000025</v>
      </c>
      <c r="E197" s="216">
        <f t="shared" si="113"/>
        <v>0</v>
      </c>
      <c r="AI197" s="216">
        <f t="shared" si="112"/>
        <v>5.349999999999998</v>
      </c>
      <c r="AJ197" s="216">
        <f t="shared" si="114"/>
        <v>15</v>
      </c>
    </row>
    <row r="198" spans="4:36" ht="15.75">
      <c r="D198" s="216">
        <f t="shared" si="115"/>
        <v>5.800000000000026</v>
      </c>
      <c r="E198" s="216">
        <f t="shared" si="113"/>
        <v>0</v>
      </c>
      <c r="AI198" s="216">
        <f t="shared" si="112"/>
        <v>5.299999999999998</v>
      </c>
      <c r="AJ198" s="216">
        <f t="shared" si="114"/>
        <v>14</v>
      </c>
    </row>
    <row r="199" spans="4:36" ht="15.75">
      <c r="D199" s="216">
        <f t="shared" si="115"/>
        <v>5.700000000000026</v>
      </c>
      <c r="E199" s="216">
        <f t="shared" si="113"/>
        <v>0</v>
      </c>
      <c r="AI199" s="216">
        <f t="shared" si="112"/>
        <v>5.249999999999998</v>
      </c>
      <c r="AJ199" s="216">
        <f t="shared" si="114"/>
        <v>18</v>
      </c>
    </row>
    <row r="200" spans="4:36" ht="15.75">
      <c r="D200" s="216">
        <f t="shared" si="115"/>
        <v>5.600000000000026</v>
      </c>
      <c r="E200" s="216">
        <f t="shared" si="113"/>
        <v>0</v>
      </c>
      <c r="AI200" s="216">
        <f t="shared" si="112"/>
        <v>5.199999999999998</v>
      </c>
      <c r="AJ200" s="216">
        <f t="shared" si="114"/>
        <v>26</v>
      </c>
    </row>
    <row r="201" spans="4:36" ht="15.75">
      <c r="D201" s="216">
        <f t="shared" si="115"/>
        <v>5.500000000000027</v>
      </c>
      <c r="E201" s="216">
        <f t="shared" si="113"/>
        <v>0</v>
      </c>
      <c r="AI201" s="216">
        <f t="shared" si="112"/>
        <v>5.149999999999999</v>
      </c>
      <c r="AJ201" s="216">
        <f t="shared" si="114"/>
        <v>16</v>
      </c>
    </row>
    <row r="202" spans="4:36" ht="15.75">
      <c r="D202" s="216">
        <f t="shared" si="115"/>
        <v>5.400000000000027</v>
      </c>
      <c r="E202" s="216">
        <f t="shared" si="113"/>
        <v>0</v>
      </c>
      <c r="AI202" s="216">
        <f t="shared" si="112"/>
        <v>5.099999999999999</v>
      </c>
      <c r="AJ202" s="216">
        <f t="shared" si="114"/>
        <v>24</v>
      </c>
    </row>
    <row r="203" spans="35:36" ht="15.75">
      <c r="AI203" s="216">
        <f t="shared" si="112"/>
        <v>5.049999999999999</v>
      </c>
      <c r="AJ203" s="216">
        <f t="shared" si="114"/>
        <v>10</v>
      </c>
    </row>
    <row r="204" spans="35:36" ht="15.75">
      <c r="AI204" s="216">
        <f t="shared" si="112"/>
        <v>4.999999999999999</v>
      </c>
      <c r="AJ204" s="216">
        <f t="shared" si="114"/>
        <v>17</v>
      </c>
    </row>
    <row r="205" spans="35:36" ht="15.75">
      <c r="AI205" s="216">
        <f t="shared" si="112"/>
        <v>4.949999999999999</v>
      </c>
      <c r="AJ205" s="216">
        <f t="shared" si="114"/>
        <v>9</v>
      </c>
    </row>
    <row r="206" spans="35:36" ht="15.75">
      <c r="AI206" s="216">
        <f>AI205-$AR$126</f>
        <v>4.8999999999999995</v>
      </c>
      <c r="AJ206" s="216">
        <f t="shared" si="114"/>
        <v>6</v>
      </c>
    </row>
    <row r="207" spans="35:36" ht="15.75">
      <c r="AI207" s="216">
        <f t="shared" si="112"/>
        <v>4.85</v>
      </c>
      <c r="AJ207" s="216">
        <f t="shared" si="114"/>
        <v>3</v>
      </c>
    </row>
    <row r="208" spans="35:36" ht="15.75">
      <c r="AI208" s="216">
        <f t="shared" si="112"/>
        <v>4.8</v>
      </c>
      <c r="AJ208" s="216">
        <f t="shared" si="114"/>
        <v>3</v>
      </c>
    </row>
    <row r="209" spans="35:36" ht="15.75">
      <c r="AI209" s="216">
        <f t="shared" si="112"/>
        <v>4.75</v>
      </c>
      <c r="AJ209" s="216">
        <f t="shared" si="114"/>
        <v>1</v>
      </c>
    </row>
    <row r="210" spans="35:36" ht="15.75">
      <c r="AI210" s="216">
        <f t="shared" si="112"/>
        <v>4.7</v>
      </c>
      <c r="AJ210" s="216">
        <f t="shared" si="114"/>
        <v>5</v>
      </c>
    </row>
    <row r="211" spans="35:36" ht="15.75">
      <c r="AI211" s="216">
        <f>AI210-$AR$126</f>
        <v>4.65</v>
      </c>
      <c r="AJ211" s="216">
        <f t="shared" si="114"/>
        <v>4</v>
      </c>
    </row>
    <row r="212" spans="35:36" ht="15.75">
      <c r="AI212" s="216">
        <f aca="true" t="shared" si="116" ref="AI212:AI220">AI211-$AR$126</f>
        <v>4.6000000000000005</v>
      </c>
      <c r="AJ212" s="216">
        <f t="shared" si="114"/>
        <v>1</v>
      </c>
    </row>
    <row r="213" spans="35:36" ht="15.75">
      <c r="AI213" s="216">
        <f t="shared" si="116"/>
        <v>4.550000000000001</v>
      </c>
      <c r="AJ213" s="216">
        <f t="shared" si="114"/>
        <v>1</v>
      </c>
    </row>
    <row r="214" spans="35:36" ht="15.75">
      <c r="AI214" s="216">
        <f t="shared" si="116"/>
        <v>4.500000000000001</v>
      </c>
      <c r="AJ214" s="216">
        <f t="shared" si="114"/>
        <v>1</v>
      </c>
    </row>
    <row r="215" spans="35:36" ht="15.75">
      <c r="AI215" s="216">
        <f t="shared" si="116"/>
        <v>4.450000000000001</v>
      </c>
      <c r="AJ215" s="216">
        <f t="shared" si="114"/>
        <v>0</v>
      </c>
    </row>
    <row r="216" spans="35:36" ht="15.75">
      <c r="AI216" s="216">
        <f t="shared" si="116"/>
        <v>4.400000000000001</v>
      </c>
      <c r="AJ216" s="216">
        <f t="shared" si="114"/>
        <v>0</v>
      </c>
    </row>
    <row r="217" spans="35:36" ht="15.75">
      <c r="AI217" s="216">
        <f t="shared" si="116"/>
        <v>4.350000000000001</v>
      </c>
      <c r="AJ217" s="216">
        <f t="shared" si="114"/>
        <v>0</v>
      </c>
    </row>
    <row r="218" spans="35:36" ht="15.75">
      <c r="AI218" s="216">
        <f t="shared" si="116"/>
        <v>4.300000000000002</v>
      </c>
      <c r="AJ218" s="216">
        <f t="shared" si="114"/>
        <v>0</v>
      </c>
    </row>
    <row r="219" spans="35:36" ht="15.75">
      <c r="AI219" s="216">
        <f t="shared" si="116"/>
        <v>4.250000000000002</v>
      </c>
      <c r="AJ219" s="216">
        <f t="shared" si="114"/>
        <v>1</v>
      </c>
    </row>
    <row r="220" spans="35:36" ht="15.75">
      <c r="AI220" s="216">
        <f t="shared" si="116"/>
        <v>4.200000000000002</v>
      </c>
      <c r="AJ220" s="216">
        <f t="shared" si="114"/>
        <v>0</v>
      </c>
    </row>
  </sheetData>
  <sheetProtection/>
  <mergeCells count="6">
    <mergeCell ref="BC2:BL2"/>
    <mergeCell ref="D2:M2"/>
    <mergeCell ref="N2:W2"/>
    <mergeCell ref="X2:AG2"/>
    <mergeCell ref="AI2:AR2"/>
    <mergeCell ref="AS2:B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C66" sqref="C66"/>
    </sheetView>
  </sheetViews>
  <sheetFormatPr defaultColWidth="10.28125" defaultRowHeight="12.75"/>
  <cols>
    <col min="1" max="1" width="7.140625" style="27" bestFit="1" customWidth="1"/>
    <col min="2" max="2" width="31.28125" style="217" bestFit="1" customWidth="1"/>
    <col min="3" max="3" width="26.00390625" style="217" bestFit="1" customWidth="1"/>
    <col min="4" max="4" width="9.00390625" style="248" bestFit="1" customWidth="1"/>
    <col min="5" max="5" width="21.57421875" style="215" bestFit="1" customWidth="1"/>
    <col min="6" max="6" width="16.140625" style="257" bestFit="1" customWidth="1"/>
    <col min="7" max="7" width="25.28125" style="258" bestFit="1" customWidth="1"/>
    <col min="8" max="9" width="13.57421875" style="215" customWidth="1"/>
    <col min="10" max="10" width="8.28125" style="215" bestFit="1" customWidth="1"/>
    <col min="11" max="11" width="13.57421875" style="215" customWidth="1"/>
    <col min="12" max="12" width="26.140625" style="217" bestFit="1" customWidth="1"/>
    <col min="13" max="16384" width="10.28125" style="217" customWidth="1"/>
  </cols>
  <sheetData>
    <row r="1" spans="2:11" ht="15.75">
      <c r="B1" s="214"/>
      <c r="H1" s="441" t="s">
        <v>110</v>
      </c>
      <c r="I1" s="442"/>
      <c r="J1" s="443"/>
      <c r="K1" s="444"/>
    </row>
    <row r="2" spans="1:12" ht="16.5" thickBot="1">
      <c r="A2" s="52"/>
      <c r="B2" s="219" t="s">
        <v>112</v>
      </c>
      <c r="C2" s="259" t="s">
        <v>104</v>
      </c>
      <c r="D2" s="397" t="s">
        <v>105</v>
      </c>
      <c r="E2" s="359" t="s">
        <v>256</v>
      </c>
      <c r="F2" s="261" t="s">
        <v>108</v>
      </c>
      <c r="G2" s="262" t="s">
        <v>109</v>
      </c>
      <c r="H2" s="263" t="s">
        <v>119</v>
      </c>
      <c r="I2" s="264" t="s">
        <v>120</v>
      </c>
      <c r="J2" s="265" t="s">
        <v>257</v>
      </c>
      <c r="K2" s="266" t="s">
        <v>121</v>
      </c>
      <c r="L2" s="267" t="s">
        <v>111</v>
      </c>
    </row>
    <row r="3" spans="1:12" ht="15">
      <c r="A3" s="90">
        <v>85</v>
      </c>
      <c r="B3" s="223" t="s">
        <v>122</v>
      </c>
      <c r="C3" s="392">
        <v>18.15</v>
      </c>
      <c r="D3" s="398">
        <v>8.9</v>
      </c>
      <c r="E3" s="270">
        <v>6</v>
      </c>
      <c r="F3" s="271">
        <v>0.21</v>
      </c>
      <c r="G3" s="272">
        <v>7</v>
      </c>
      <c r="H3" s="273">
        <v>9</v>
      </c>
      <c r="I3" s="274"/>
      <c r="J3" s="275"/>
      <c r="K3" s="274"/>
      <c r="L3" s="276"/>
    </row>
    <row r="4" spans="1:12" ht="15">
      <c r="A4" s="90">
        <v>97</v>
      </c>
      <c r="B4" s="401" t="s">
        <v>123</v>
      </c>
      <c r="C4" s="393">
        <v>18.13</v>
      </c>
      <c r="D4" s="399">
        <v>8.07</v>
      </c>
      <c r="E4" s="270">
        <v>6</v>
      </c>
      <c r="F4" s="279">
        <v>0.1</v>
      </c>
      <c r="G4" s="280">
        <v>3</v>
      </c>
      <c r="H4" s="281">
        <v>5</v>
      </c>
      <c r="I4" s="282"/>
      <c r="J4" s="283"/>
      <c r="K4" s="282"/>
      <c r="L4" s="284"/>
    </row>
    <row r="5" spans="1:12" ht="15">
      <c r="A5" s="90">
        <v>104</v>
      </c>
      <c r="B5" s="235" t="s">
        <v>124</v>
      </c>
      <c r="C5" s="392">
        <v>17.44</v>
      </c>
      <c r="D5" s="399">
        <v>10</v>
      </c>
      <c r="E5" s="285">
        <v>6</v>
      </c>
      <c r="F5" s="279">
        <v>0.14</v>
      </c>
      <c r="G5" s="280">
        <v>3</v>
      </c>
      <c r="H5" s="281">
        <v>1</v>
      </c>
      <c r="I5" s="282"/>
      <c r="J5" s="283"/>
      <c r="K5" s="282"/>
      <c r="L5" s="284"/>
    </row>
    <row r="6" spans="1:12" ht="15">
      <c r="A6" s="90">
        <v>109</v>
      </c>
      <c r="B6" s="235" t="s">
        <v>125</v>
      </c>
      <c r="C6" s="392">
        <v>17.91</v>
      </c>
      <c r="D6" s="399">
        <v>7.91</v>
      </c>
      <c r="E6" s="286">
        <v>7</v>
      </c>
      <c r="F6" s="279">
        <v>0.46</v>
      </c>
      <c r="G6" s="280">
        <v>3</v>
      </c>
      <c r="H6" s="281">
        <v>1</v>
      </c>
      <c r="I6" s="282"/>
      <c r="J6" s="283"/>
      <c r="K6" s="282"/>
      <c r="L6" s="284"/>
    </row>
    <row r="7" spans="1:12" ht="15">
      <c r="A7" s="90">
        <v>118</v>
      </c>
      <c r="B7" s="243" t="s">
        <v>126</v>
      </c>
      <c r="C7" s="392">
        <v>23.15</v>
      </c>
      <c r="D7" s="399">
        <v>9.41</v>
      </c>
      <c r="E7" s="285">
        <v>6</v>
      </c>
      <c r="F7" s="279">
        <v>1</v>
      </c>
      <c r="G7" s="280">
        <v>5</v>
      </c>
      <c r="H7" s="281"/>
      <c r="I7" s="282">
        <v>5</v>
      </c>
      <c r="J7" s="283" t="s">
        <v>260</v>
      </c>
      <c r="K7" s="282"/>
      <c r="L7" s="284"/>
    </row>
    <row r="8" spans="1:12" ht="15">
      <c r="A8" s="90">
        <v>121</v>
      </c>
      <c r="B8" s="243" t="s">
        <v>127</v>
      </c>
      <c r="C8" s="392">
        <v>22.66</v>
      </c>
      <c r="D8" s="399">
        <v>10.4</v>
      </c>
      <c r="E8" s="286">
        <v>6</v>
      </c>
      <c r="F8" s="279">
        <v>1</v>
      </c>
      <c r="G8" s="280">
        <v>7</v>
      </c>
      <c r="H8" s="281">
        <v>5</v>
      </c>
      <c r="I8" s="282">
        <v>5</v>
      </c>
      <c r="J8" s="283" t="s">
        <v>260</v>
      </c>
      <c r="K8" s="282"/>
      <c r="L8" s="284"/>
    </row>
    <row r="9" spans="1:12" ht="15">
      <c r="A9" s="90">
        <v>122</v>
      </c>
      <c r="B9" s="243" t="s">
        <v>128</v>
      </c>
      <c r="C9" s="392">
        <v>23.37</v>
      </c>
      <c r="D9" s="399">
        <v>5.99</v>
      </c>
      <c r="E9" s="286" t="s">
        <v>262</v>
      </c>
      <c r="F9" s="279">
        <v>0.28</v>
      </c>
      <c r="G9" s="280">
        <v>5</v>
      </c>
      <c r="H9" s="281"/>
      <c r="I9" s="282">
        <v>5</v>
      </c>
      <c r="J9" s="283" t="s">
        <v>263</v>
      </c>
      <c r="K9" s="282"/>
      <c r="L9" s="284"/>
    </row>
    <row r="10" spans="1:12" ht="15">
      <c r="A10" s="90">
        <v>167</v>
      </c>
      <c r="B10" s="243" t="s">
        <v>129</v>
      </c>
      <c r="C10" s="394">
        <v>19.2</v>
      </c>
      <c r="D10" s="399">
        <v>5.41</v>
      </c>
      <c r="E10" s="285">
        <v>3</v>
      </c>
      <c r="F10" s="279">
        <v>0.78</v>
      </c>
      <c r="G10" s="280">
        <v>7</v>
      </c>
      <c r="H10" s="281">
        <v>9</v>
      </c>
      <c r="I10" s="282"/>
      <c r="J10" s="283"/>
      <c r="K10" s="282"/>
      <c r="L10" s="284"/>
    </row>
    <row r="11" spans="1:12" ht="15">
      <c r="A11" s="90">
        <v>176</v>
      </c>
      <c r="B11" s="323" t="s">
        <v>130</v>
      </c>
      <c r="C11" s="395"/>
      <c r="D11" s="399">
        <v>9.2</v>
      </c>
      <c r="E11" s="286">
        <v>4</v>
      </c>
      <c r="F11" s="279">
        <v>0.16</v>
      </c>
      <c r="G11" s="280">
        <v>1</v>
      </c>
      <c r="H11" s="281"/>
      <c r="I11" s="282">
        <v>1</v>
      </c>
      <c r="J11" s="283" t="s">
        <v>264</v>
      </c>
      <c r="K11" s="282"/>
      <c r="L11" s="284"/>
    </row>
    <row r="12" spans="1:12" ht="15">
      <c r="A12" s="90">
        <v>323</v>
      </c>
      <c r="B12" s="243" t="s">
        <v>131</v>
      </c>
      <c r="C12" s="396"/>
      <c r="D12" s="399">
        <v>9.2</v>
      </c>
      <c r="E12" s="286">
        <v>6</v>
      </c>
      <c r="F12" s="279">
        <v>0.89</v>
      </c>
      <c r="G12" s="280">
        <v>7</v>
      </c>
      <c r="H12" s="281"/>
      <c r="I12" s="282">
        <v>9</v>
      </c>
      <c r="J12" s="283"/>
      <c r="K12" s="282"/>
      <c r="L12" s="284"/>
    </row>
    <row r="13" spans="1:12" ht="15">
      <c r="A13" s="90">
        <v>333</v>
      </c>
      <c r="B13" s="243" t="s">
        <v>132</v>
      </c>
      <c r="C13" s="396"/>
      <c r="D13" s="399"/>
      <c r="E13" s="285"/>
      <c r="F13" s="279"/>
      <c r="G13" s="280"/>
      <c r="H13" s="281"/>
      <c r="I13" s="282"/>
      <c r="J13" s="283"/>
      <c r="K13" s="282"/>
      <c r="L13" s="284"/>
    </row>
    <row r="14" spans="1:12" ht="15">
      <c r="A14" s="90">
        <v>396</v>
      </c>
      <c r="B14" s="243" t="s">
        <v>133</v>
      </c>
      <c r="C14" s="396"/>
      <c r="D14" s="399"/>
      <c r="E14" s="285">
        <v>6</v>
      </c>
      <c r="F14" s="279">
        <f>11/50</f>
        <v>0.22</v>
      </c>
      <c r="G14" s="280">
        <v>1</v>
      </c>
      <c r="H14" s="281"/>
      <c r="I14" s="282">
        <v>1</v>
      </c>
      <c r="J14" s="283" t="s">
        <v>264</v>
      </c>
      <c r="K14" s="282"/>
      <c r="L14" s="284"/>
    </row>
    <row r="15" spans="1:12" ht="15">
      <c r="A15" s="90">
        <v>476</v>
      </c>
      <c r="B15" s="243" t="s">
        <v>134</v>
      </c>
      <c r="C15" s="392">
        <v>22.63</v>
      </c>
      <c r="D15" s="399">
        <v>8.07</v>
      </c>
      <c r="E15" s="286">
        <v>6</v>
      </c>
      <c r="F15" s="279">
        <v>0.99</v>
      </c>
      <c r="G15" s="280">
        <v>7</v>
      </c>
      <c r="H15" s="281"/>
      <c r="I15" s="282">
        <v>9</v>
      </c>
      <c r="J15" s="283"/>
      <c r="K15" s="282"/>
      <c r="L15" s="284"/>
    </row>
    <row r="16" spans="1:12" ht="15">
      <c r="A16" s="90">
        <v>477</v>
      </c>
      <c r="B16" s="323" t="s">
        <v>135</v>
      </c>
      <c r="C16" s="393">
        <v>19.35</v>
      </c>
      <c r="D16" s="399">
        <v>6.66</v>
      </c>
      <c r="E16" s="285">
        <v>5</v>
      </c>
      <c r="F16" s="279">
        <v>1</v>
      </c>
      <c r="G16" s="280">
        <v>7</v>
      </c>
      <c r="H16" s="281">
        <v>9</v>
      </c>
      <c r="I16" s="282"/>
      <c r="J16" s="283"/>
      <c r="K16" s="282"/>
      <c r="L16" s="284"/>
    </row>
    <row r="17" spans="1:12" ht="15">
      <c r="A17" s="90">
        <v>481</v>
      </c>
      <c r="B17" s="323" t="s">
        <v>136</v>
      </c>
      <c r="C17" s="402"/>
      <c r="D17" s="399">
        <v>11.5</v>
      </c>
      <c r="E17" s="285">
        <v>5</v>
      </c>
      <c r="F17" s="279">
        <v>1</v>
      </c>
      <c r="G17" s="280">
        <v>7</v>
      </c>
      <c r="H17" s="281"/>
      <c r="I17" s="282">
        <v>9</v>
      </c>
      <c r="J17" s="283" t="s">
        <v>263</v>
      </c>
      <c r="K17" s="282"/>
      <c r="L17" s="284"/>
    </row>
    <row r="18" spans="1:12" ht="15">
      <c r="A18" s="90">
        <v>500</v>
      </c>
      <c r="B18" s="323" t="s">
        <v>137</v>
      </c>
      <c r="C18" s="402"/>
      <c r="D18" s="399"/>
      <c r="E18" s="285"/>
      <c r="F18" s="279"/>
      <c r="G18" s="280"/>
      <c r="H18" s="281"/>
      <c r="I18" s="282"/>
      <c r="J18" s="283"/>
      <c r="K18" s="282"/>
      <c r="L18" s="284"/>
    </row>
    <row r="19" spans="1:12" ht="15">
      <c r="A19" s="90">
        <v>501</v>
      </c>
      <c r="B19" s="323" t="s">
        <v>138</v>
      </c>
      <c r="C19" s="403">
        <v>19.5</v>
      </c>
      <c r="D19" s="399">
        <v>6.99</v>
      </c>
      <c r="E19" s="286">
        <v>7</v>
      </c>
      <c r="F19" s="279">
        <v>1</v>
      </c>
      <c r="G19" s="280">
        <v>9</v>
      </c>
      <c r="H19" s="281">
        <v>1</v>
      </c>
      <c r="I19" s="282">
        <v>9</v>
      </c>
      <c r="J19" s="283" t="s">
        <v>263</v>
      </c>
      <c r="K19" s="282"/>
      <c r="L19" s="284"/>
    </row>
    <row r="20" spans="1:12" ht="15">
      <c r="A20" s="90">
        <v>502</v>
      </c>
      <c r="B20" s="323" t="s">
        <v>139</v>
      </c>
      <c r="C20" s="403">
        <v>19.56</v>
      </c>
      <c r="D20" s="399">
        <v>7.07</v>
      </c>
      <c r="E20" s="285">
        <v>4</v>
      </c>
      <c r="F20" s="279">
        <v>0.16</v>
      </c>
      <c r="G20" s="280">
        <v>3</v>
      </c>
      <c r="H20" s="281"/>
      <c r="I20" s="282">
        <v>1</v>
      </c>
      <c r="J20" s="283" t="s">
        <v>260</v>
      </c>
      <c r="K20" s="282"/>
      <c r="L20" s="284"/>
    </row>
    <row r="21" spans="1:12" ht="15">
      <c r="A21" s="90">
        <v>512</v>
      </c>
      <c r="B21" s="325" t="s">
        <v>140</v>
      </c>
      <c r="C21" s="393">
        <v>19.55</v>
      </c>
      <c r="D21" s="399">
        <v>7.32</v>
      </c>
      <c r="E21" s="285">
        <v>7</v>
      </c>
      <c r="F21" s="279">
        <v>0.96</v>
      </c>
      <c r="G21" s="280">
        <v>7</v>
      </c>
      <c r="H21" s="281">
        <v>9</v>
      </c>
      <c r="I21" s="282"/>
      <c r="J21" s="283"/>
      <c r="K21" s="282"/>
      <c r="L21" s="284"/>
    </row>
    <row r="22" spans="1:12" ht="15">
      <c r="A22" s="90">
        <v>518</v>
      </c>
      <c r="B22" s="325" t="s">
        <v>141</v>
      </c>
      <c r="C22" s="403">
        <v>22.63</v>
      </c>
      <c r="D22" s="399">
        <v>9.32</v>
      </c>
      <c r="E22" s="286">
        <v>7</v>
      </c>
      <c r="F22" s="279">
        <v>1</v>
      </c>
      <c r="G22" s="280">
        <v>7</v>
      </c>
      <c r="H22" s="281">
        <v>9</v>
      </c>
      <c r="I22" s="282"/>
      <c r="J22" s="283"/>
      <c r="K22" s="282"/>
      <c r="L22" s="284"/>
    </row>
    <row r="23" spans="1:12" ht="15">
      <c r="A23" s="90">
        <v>519</v>
      </c>
      <c r="B23" s="325" t="s">
        <v>142</v>
      </c>
      <c r="C23" s="403">
        <v>17.97</v>
      </c>
      <c r="D23" s="399">
        <v>9.32</v>
      </c>
      <c r="E23" s="285">
        <v>7</v>
      </c>
      <c r="F23" s="279">
        <v>1</v>
      </c>
      <c r="G23" s="280">
        <v>7</v>
      </c>
      <c r="H23" s="281">
        <v>9</v>
      </c>
      <c r="I23" s="282"/>
      <c r="J23" s="283"/>
      <c r="K23" s="282"/>
      <c r="L23" s="284"/>
    </row>
    <row r="24" spans="1:12" ht="15">
      <c r="A24" s="90">
        <v>520</v>
      </c>
      <c r="B24" s="325" t="s">
        <v>143</v>
      </c>
      <c r="C24" s="404"/>
      <c r="D24" s="399"/>
      <c r="E24" s="285"/>
      <c r="F24" s="279"/>
      <c r="G24" s="280"/>
      <c r="H24" s="281"/>
      <c r="I24" s="282"/>
      <c r="J24" s="283"/>
      <c r="K24" s="282"/>
      <c r="L24" s="284"/>
    </row>
    <row r="25" spans="1:12" ht="15">
      <c r="A25" s="90">
        <v>523</v>
      </c>
      <c r="B25" s="325" t="s">
        <v>144</v>
      </c>
      <c r="C25" s="393">
        <v>18.81</v>
      </c>
      <c r="D25" s="399">
        <v>7.08</v>
      </c>
      <c r="E25" s="286">
        <v>7</v>
      </c>
      <c r="F25" s="279">
        <v>0.49</v>
      </c>
      <c r="G25" s="280">
        <v>5</v>
      </c>
      <c r="H25" s="281">
        <v>5</v>
      </c>
      <c r="I25" s="282"/>
      <c r="J25" s="283"/>
      <c r="K25" s="282"/>
      <c r="L25" s="284"/>
    </row>
    <row r="26" spans="1:12" ht="15">
      <c r="A26" s="90">
        <v>524</v>
      </c>
      <c r="B26" s="244" t="s">
        <v>145</v>
      </c>
      <c r="C26" s="392">
        <v>19.71</v>
      </c>
      <c r="D26" s="399">
        <v>6.49</v>
      </c>
      <c r="E26" s="285">
        <v>7</v>
      </c>
      <c r="F26" s="279">
        <v>0.95</v>
      </c>
      <c r="G26" s="280">
        <v>7</v>
      </c>
      <c r="H26" s="281">
        <v>9</v>
      </c>
      <c r="I26" s="282"/>
      <c r="J26" s="283"/>
      <c r="K26" s="282"/>
      <c r="L26" s="284"/>
    </row>
    <row r="27" spans="1:12" ht="15">
      <c r="A27" s="90">
        <v>527</v>
      </c>
      <c r="B27" s="244" t="s">
        <v>146</v>
      </c>
      <c r="C27" s="392">
        <v>19.12</v>
      </c>
      <c r="D27" s="399">
        <v>5.58</v>
      </c>
      <c r="E27" s="285">
        <v>6</v>
      </c>
      <c r="F27" s="279">
        <v>0.74</v>
      </c>
      <c r="G27" s="280">
        <v>5</v>
      </c>
      <c r="H27" s="281">
        <v>5</v>
      </c>
      <c r="I27" s="282">
        <v>1</v>
      </c>
      <c r="J27" s="283"/>
      <c r="K27" s="282"/>
      <c r="L27" s="284"/>
    </row>
    <row r="28" spans="1:12" ht="15">
      <c r="A28" s="90">
        <v>534</v>
      </c>
      <c r="B28" s="244" t="s">
        <v>147</v>
      </c>
      <c r="C28" s="392">
        <v>19.84</v>
      </c>
      <c r="D28" s="399">
        <v>7.08</v>
      </c>
      <c r="E28" s="285">
        <v>7</v>
      </c>
      <c r="F28" s="279">
        <v>0.95</v>
      </c>
      <c r="G28" s="280">
        <v>5</v>
      </c>
      <c r="H28" s="281">
        <v>5</v>
      </c>
      <c r="I28" s="282"/>
      <c r="J28" s="283"/>
      <c r="K28" s="282"/>
      <c r="L28" s="284"/>
    </row>
    <row r="29" spans="1:12" ht="15">
      <c r="A29" s="90">
        <v>539</v>
      </c>
      <c r="B29" s="244" t="s">
        <v>148</v>
      </c>
      <c r="C29" s="392">
        <v>20.92</v>
      </c>
      <c r="D29" s="399">
        <v>6.41</v>
      </c>
      <c r="E29" s="285">
        <v>6</v>
      </c>
      <c r="F29" s="279">
        <v>1</v>
      </c>
      <c r="G29" s="280">
        <v>7</v>
      </c>
      <c r="H29" s="281">
        <v>9</v>
      </c>
      <c r="I29" s="282"/>
      <c r="J29" s="283"/>
      <c r="K29" s="282"/>
      <c r="L29" s="284"/>
    </row>
    <row r="30" spans="1:12" ht="15">
      <c r="A30" s="90">
        <v>540</v>
      </c>
      <c r="B30" s="235" t="s">
        <v>149</v>
      </c>
      <c r="C30" s="392">
        <v>17.99</v>
      </c>
      <c r="D30" s="399">
        <v>8.91</v>
      </c>
      <c r="E30" s="285">
        <v>7</v>
      </c>
      <c r="F30" s="279">
        <v>0.52</v>
      </c>
      <c r="G30" s="280">
        <v>5</v>
      </c>
      <c r="H30" s="281">
        <v>5</v>
      </c>
      <c r="I30" s="282"/>
      <c r="J30" s="283"/>
      <c r="K30" s="282"/>
      <c r="L30" s="284"/>
    </row>
    <row r="31" spans="1:12" ht="15">
      <c r="A31" s="90">
        <v>547</v>
      </c>
      <c r="B31" s="243" t="s">
        <v>150</v>
      </c>
      <c r="C31" s="396"/>
      <c r="D31" s="399"/>
      <c r="E31" s="285"/>
      <c r="F31" s="279"/>
      <c r="G31" s="280"/>
      <c r="H31" s="281"/>
      <c r="I31" s="282"/>
      <c r="J31" s="283"/>
      <c r="K31" s="282"/>
      <c r="L31" s="284"/>
    </row>
    <row r="32" spans="1:12" ht="15">
      <c r="A32" s="90">
        <v>553</v>
      </c>
      <c r="B32" s="243" t="s">
        <v>151</v>
      </c>
      <c r="C32" s="392">
        <v>15.32</v>
      </c>
      <c r="D32" s="399">
        <v>8.9</v>
      </c>
      <c r="E32" s="285">
        <v>6</v>
      </c>
      <c r="F32" s="279">
        <v>0.92</v>
      </c>
      <c r="G32" s="280">
        <v>9</v>
      </c>
      <c r="H32" s="281">
        <v>5</v>
      </c>
      <c r="I32" s="282">
        <v>9</v>
      </c>
      <c r="J32" s="283"/>
      <c r="K32" s="282"/>
      <c r="L32" s="284"/>
    </row>
    <row r="33" spans="1:12" ht="15">
      <c r="A33" s="90">
        <v>597</v>
      </c>
      <c r="B33" s="243" t="s">
        <v>152</v>
      </c>
      <c r="C33" s="392">
        <v>19.01</v>
      </c>
      <c r="D33" s="399">
        <v>7.41</v>
      </c>
      <c r="E33" s="285">
        <v>6</v>
      </c>
      <c r="F33" s="279">
        <v>0.68</v>
      </c>
      <c r="G33" s="280">
        <v>5</v>
      </c>
      <c r="H33" s="281">
        <v>5</v>
      </c>
      <c r="I33" s="282"/>
      <c r="J33" s="283"/>
      <c r="K33" s="282"/>
      <c r="L33" s="284"/>
    </row>
    <row r="34" spans="1:12" ht="15">
      <c r="A34" s="90">
        <v>635</v>
      </c>
      <c r="B34" s="243" t="s">
        <v>153</v>
      </c>
      <c r="C34" s="392">
        <v>18.34</v>
      </c>
      <c r="D34" s="399">
        <v>7.33</v>
      </c>
      <c r="E34" s="285">
        <v>6</v>
      </c>
      <c r="F34" s="279">
        <v>0.08</v>
      </c>
      <c r="G34" s="280">
        <v>1</v>
      </c>
      <c r="H34" s="281">
        <v>1</v>
      </c>
      <c r="I34" s="282"/>
      <c r="J34" s="283"/>
      <c r="K34" s="282"/>
      <c r="L34" s="284"/>
    </row>
    <row r="35" spans="1:12" ht="15">
      <c r="A35" s="90">
        <v>667</v>
      </c>
      <c r="B35" s="243" t="s">
        <v>154</v>
      </c>
      <c r="C35" s="392">
        <v>21.71</v>
      </c>
      <c r="D35" s="399">
        <v>8.97</v>
      </c>
      <c r="E35" s="285">
        <v>5</v>
      </c>
      <c r="F35" s="279">
        <v>1</v>
      </c>
      <c r="G35" s="280">
        <v>7</v>
      </c>
      <c r="H35" s="281">
        <v>9</v>
      </c>
      <c r="I35" s="282"/>
      <c r="J35" s="283"/>
      <c r="K35" s="282"/>
      <c r="L35" s="284"/>
    </row>
    <row r="36" spans="1:12" ht="15">
      <c r="A36" s="90">
        <v>669</v>
      </c>
      <c r="B36" s="243" t="s">
        <v>155</v>
      </c>
      <c r="C36" s="396"/>
      <c r="D36" s="399"/>
      <c r="E36" s="286"/>
      <c r="F36" s="279" t="s">
        <v>266</v>
      </c>
      <c r="G36" s="280"/>
      <c r="H36" s="281"/>
      <c r="I36" s="282"/>
      <c r="J36" s="283"/>
      <c r="K36" s="282"/>
      <c r="L36" s="284"/>
    </row>
    <row r="37" spans="1:12" ht="15">
      <c r="A37" s="90">
        <v>670</v>
      </c>
      <c r="B37" s="243" t="s">
        <v>156</v>
      </c>
      <c r="C37" s="396"/>
      <c r="D37" s="399"/>
      <c r="E37" s="286">
        <v>5</v>
      </c>
      <c r="F37" s="279">
        <v>0.04</v>
      </c>
      <c r="G37" s="280">
        <v>1</v>
      </c>
      <c r="H37" s="281"/>
      <c r="I37" s="282">
        <v>5</v>
      </c>
      <c r="J37" s="283" t="s">
        <v>264</v>
      </c>
      <c r="K37" s="282"/>
      <c r="L37" s="284"/>
    </row>
    <row r="38" spans="1:12" ht="15">
      <c r="A38" s="90">
        <v>674</v>
      </c>
      <c r="B38" s="243" t="s">
        <v>157</v>
      </c>
      <c r="C38" s="396"/>
      <c r="D38" s="399"/>
      <c r="E38" s="285">
        <v>5</v>
      </c>
      <c r="F38" s="279">
        <f>36/50</f>
        <v>0.72</v>
      </c>
      <c r="G38" s="280">
        <v>7</v>
      </c>
      <c r="H38" s="281"/>
      <c r="I38" s="282">
        <v>9</v>
      </c>
      <c r="J38" s="283" t="s">
        <v>260</v>
      </c>
      <c r="K38" s="282"/>
      <c r="L38" s="284"/>
    </row>
    <row r="39" spans="1:12" ht="15">
      <c r="A39" s="90">
        <v>696</v>
      </c>
      <c r="B39" s="243" t="s">
        <v>158</v>
      </c>
      <c r="C39" s="392">
        <v>20.22</v>
      </c>
      <c r="D39" s="399">
        <v>6.74</v>
      </c>
      <c r="E39" s="286">
        <v>7</v>
      </c>
      <c r="F39" s="279">
        <v>0.92</v>
      </c>
      <c r="G39" s="280">
        <v>7</v>
      </c>
      <c r="H39" s="281">
        <v>9</v>
      </c>
      <c r="I39" s="282"/>
      <c r="J39" s="283"/>
      <c r="K39" s="282"/>
      <c r="L39" s="284"/>
    </row>
    <row r="40" spans="1:12" ht="15">
      <c r="A40" s="90">
        <v>826</v>
      </c>
      <c r="B40" s="323" t="s">
        <v>159</v>
      </c>
      <c r="C40" s="406">
        <v>18.69</v>
      </c>
      <c r="D40" s="399">
        <v>7.2</v>
      </c>
      <c r="E40" s="285">
        <v>6</v>
      </c>
      <c r="F40" s="279">
        <v>1</v>
      </c>
      <c r="G40" s="280">
        <v>7</v>
      </c>
      <c r="H40" s="281">
        <v>9</v>
      </c>
      <c r="I40" s="282"/>
      <c r="J40" s="283"/>
      <c r="K40" s="282"/>
      <c r="L40" s="284"/>
    </row>
    <row r="41" spans="1:12" ht="15">
      <c r="A41" s="90">
        <v>1262</v>
      </c>
      <c r="B41" s="325" t="s">
        <v>160</v>
      </c>
      <c r="C41" s="393">
        <v>19.15</v>
      </c>
      <c r="D41" s="399">
        <v>8.2</v>
      </c>
      <c r="E41" s="285">
        <v>6</v>
      </c>
      <c r="F41" s="279">
        <v>0.47</v>
      </c>
      <c r="G41" s="280">
        <v>3</v>
      </c>
      <c r="H41" s="281">
        <v>1</v>
      </c>
      <c r="I41" s="282"/>
      <c r="J41" s="283"/>
      <c r="K41" s="282"/>
      <c r="L41" s="284"/>
    </row>
    <row r="42" spans="1:12" ht="15">
      <c r="A42" s="90">
        <v>1306</v>
      </c>
      <c r="B42" s="325" t="s">
        <v>161</v>
      </c>
      <c r="C42" s="402"/>
      <c r="D42" s="399"/>
      <c r="E42" s="285"/>
      <c r="F42" s="279"/>
      <c r="G42" s="280"/>
      <c r="H42" s="281"/>
      <c r="I42" s="282"/>
      <c r="J42" s="283"/>
      <c r="K42" s="282"/>
      <c r="L42" s="284"/>
    </row>
    <row r="43" spans="1:12" ht="15">
      <c r="A43" s="90">
        <v>74</v>
      </c>
      <c r="B43" s="325" t="s">
        <v>162</v>
      </c>
      <c r="C43" s="403">
        <v>19.31</v>
      </c>
      <c r="D43" s="399">
        <v>7.41</v>
      </c>
      <c r="E43" s="285">
        <v>7</v>
      </c>
      <c r="F43" s="279">
        <v>0.84</v>
      </c>
      <c r="G43" s="280">
        <v>7</v>
      </c>
      <c r="H43" s="281">
        <v>9</v>
      </c>
      <c r="I43" s="282"/>
      <c r="J43" s="283"/>
      <c r="K43" s="282"/>
      <c r="L43" s="284"/>
    </row>
    <row r="44" spans="1:12" ht="15">
      <c r="A44" s="90">
        <v>1395</v>
      </c>
      <c r="B44" s="325" t="s">
        <v>163</v>
      </c>
      <c r="C44" s="403">
        <v>18.83</v>
      </c>
      <c r="D44" s="399">
        <v>6.33</v>
      </c>
      <c r="E44" s="286">
        <v>6</v>
      </c>
      <c r="F44" s="279">
        <v>0.98</v>
      </c>
      <c r="G44" s="280">
        <v>9</v>
      </c>
      <c r="H44" s="281">
        <v>9</v>
      </c>
      <c r="I44" s="282">
        <v>9</v>
      </c>
      <c r="J44" s="283"/>
      <c r="K44" s="282"/>
      <c r="L44" s="284"/>
    </row>
    <row r="45" spans="1:12" ht="15">
      <c r="A45" s="90">
        <v>1473</v>
      </c>
      <c r="B45" s="325" t="s">
        <v>164</v>
      </c>
      <c r="C45" s="403">
        <v>18.6</v>
      </c>
      <c r="D45" s="399">
        <v>7.4</v>
      </c>
      <c r="E45" s="286">
        <v>7</v>
      </c>
      <c r="F45" s="279">
        <v>0.77</v>
      </c>
      <c r="G45" s="280">
        <v>9</v>
      </c>
      <c r="H45" s="281">
        <v>9</v>
      </c>
      <c r="I45" s="282">
        <v>9</v>
      </c>
      <c r="J45" s="283"/>
      <c r="K45" s="282"/>
      <c r="L45" s="284"/>
    </row>
    <row r="46" spans="1:12" ht="15">
      <c r="A46" s="90">
        <v>1488</v>
      </c>
      <c r="B46" s="325" t="s">
        <v>165</v>
      </c>
      <c r="C46" s="403">
        <v>18.97</v>
      </c>
      <c r="D46" s="399">
        <v>8.57</v>
      </c>
      <c r="E46" s="286">
        <v>7</v>
      </c>
      <c r="F46" s="279">
        <v>0.04</v>
      </c>
      <c r="G46" s="280">
        <v>1</v>
      </c>
      <c r="H46" s="281"/>
      <c r="I46" s="282">
        <v>5</v>
      </c>
      <c r="J46" s="283" t="s">
        <v>260</v>
      </c>
      <c r="K46" s="282"/>
      <c r="L46" s="284"/>
    </row>
    <row r="47" spans="1:12" ht="15">
      <c r="A47" s="90">
        <v>1489</v>
      </c>
      <c r="B47" s="325" t="s">
        <v>166</v>
      </c>
      <c r="C47" s="403">
        <v>24.12</v>
      </c>
      <c r="D47" s="399">
        <v>7.82</v>
      </c>
      <c r="E47" s="285">
        <v>7</v>
      </c>
      <c r="F47" s="279">
        <v>0.27</v>
      </c>
      <c r="G47" s="280">
        <v>3</v>
      </c>
      <c r="H47" s="281"/>
      <c r="I47" s="282">
        <v>9</v>
      </c>
      <c r="J47" s="283" t="s">
        <v>263</v>
      </c>
      <c r="K47" s="282"/>
      <c r="L47" s="284"/>
    </row>
    <row r="48" spans="1:12" ht="15">
      <c r="A48" s="90">
        <v>1506</v>
      </c>
      <c r="B48" s="325" t="s">
        <v>167</v>
      </c>
      <c r="C48" s="403">
        <v>25.97</v>
      </c>
      <c r="D48" s="399">
        <v>8.2</v>
      </c>
      <c r="E48" s="285">
        <v>5</v>
      </c>
      <c r="F48" s="279">
        <v>1</v>
      </c>
      <c r="G48" s="280">
        <v>7</v>
      </c>
      <c r="H48" s="281">
        <v>9</v>
      </c>
      <c r="I48" s="282"/>
      <c r="J48" s="283"/>
      <c r="K48" s="282"/>
      <c r="L48" s="284"/>
    </row>
    <row r="49" spans="1:12" ht="15">
      <c r="A49" s="90">
        <v>1508</v>
      </c>
      <c r="B49" s="325" t="s">
        <v>168</v>
      </c>
      <c r="C49" s="403">
        <v>18.21</v>
      </c>
      <c r="D49" s="399">
        <v>6.2</v>
      </c>
      <c r="E49" s="286">
        <v>6</v>
      </c>
      <c r="F49" s="279">
        <v>0.92</v>
      </c>
      <c r="G49" s="280">
        <v>5</v>
      </c>
      <c r="H49" s="281">
        <v>5</v>
      </c>
      <c r="I49" s="282"/>
      <c r="J49" s="283"/>
      <c r="K49" s="282"/>
      <c r="L49" s="284"/>
    </row>
    <row r="50" spans="1:12" ht="15">
      <c r="A50" s="90">
        <v>1511</v>
      </c>
      <c r="B50" s="325" t="s">
        <v>169</v>
      </c>
      <c r="C50" s="403">
        <v>18.75</v>
      </c>
      <c r="D50" s="399">
        <v>8.32</v>
      </c>
      <c r="E50" s="286">
        <v>7</v>
      </c>
      <c r="F50" s="279">
        <v>0.98</v>
      </c>
      <c r="G50" s="280">
        <v>7</v>
      </c>
      <c r="H50" s="281">
        <v>9</v>
      </c>
      <c r="I50" s="282"/>
      <c r="J50" s="283"/>
      <c r="K50" s="282"/>
      <c r="L50" s="284"/>
    </row>
    <row r="51" spans="1:12" ht="15">
      <c r="A51" s="90">
        <v>1514</v>
      </c>
      <c r="B51" s="405" t="s">
        <v>170</v>
      </c>
      <c r="C51" s="403">
        <v>19.23</v>
      </c>
      <c r="D51" s="399">
        <v>8.74</v>
      </c>
      <c r="E51" s="285">
        <v>6</v>
      </c>
      <c r="F51" s="279">
        <v>1</v>
      </c>
      <c r="G51" s="280">
        <v>7</v>
      </c>
      <c r="H51" s="281">
        <v>9</v>
      </c>
      <c r="I51" s="282"/>
      <c r="J51" s="283"/>
      <c r="K51" s="282"/>
      <c r="L51" s="284"/>
    </row>
    <row r="52" spans="1:12" ht="15">
      <c r="A52" s="90">
        <v>1516</v>
      </c>
      <c r="B52" s="325" t="s">
        <v>171</v>
      </c>
      <c r="C52" s="403">
        <v>16.47</v>
      </c>
      <c r="D52" s="399">
        <v>8.41</v>
      </c>
      <c r="E52" s="286">
        <v>6</v>
      </c>
      <c r="F52" s="279">
        <v>0.88</v>
      </c>
      <c r="G52" s="280">
        <v>7</v>
      </c>
      <c r="H52" s="281">
        <v>9</v>
      </c>
      <c r="I52" s="282"/>
      <c r="J52" s="283"/>
      <c r="K52" s="282"/>
      <c r="L52" s="284"/>
    </row>
    <row r="53" spans="1:12" ht="15">
      <c r="A53" s="90">
        <v>1530</v>
      </c>
      <c r="B53" s="325" t="s">
        <v>172</v>
      </c>
      <c r="C53" s="403">
        <v>21.04</v>
      </c>
      <c r="D53" s="399">
        <v>10.2</v>
      </c>
      <c r="E53" s="286">
        <v>7</v>
      </c>
      <c r="F53" s="279">
        <v>0.97</v>
      </c>
      <c r="G53" s="280">
        <v>7</v>
      </c>
      <c r="H53" s="281">
        <v>9</v>
      </c>
      <c r="I53" s="282"/>
      <c r="J53" s="283"/>
      <c r="K53" s="282"/>
      <c r="L53" s="284"/>
    </row>
    <row r="54" spans="1:12" ht="15">
      <c r="A54" s="194">
        <v>1634</v>
      </c>
      <c r="B54" s="325" t="s">
        <v>173</v>
      </c>
      <c r="C54" s="402"/>
      <c r="D54" s="399"/>
      <c r="E54" s="285"/>
      <c r="F54" s="279"/>
      <c r="G54" s="280"/>
      <c r="H54" s="281"/>
      <c r="I54" s="282"/>
      <c r="J54" s="283"/>
      <c r="K54" s="282"/>
      <c r="L54" s="284"/>
    </row>
    <row r="55" spans="1:12" ht="15">
      <c r="A55" s="194">
        <v>1635</v>
      </c>
      <c r="B55" s="325" t="s">
        <v>174</v>
      </c>
      <c r="C55" s="403">
        <v>18.57</v>
      </c>
      <c r="D55" s="399">
        <v>8.58</v>
      </c>
      <c r="E55" s="285">
        <v>3</v>
      </c>
      <c r="F55" s="279">
        <v>0.65</v>
      </c>
      <c r="G55" s="280">
        <v>3</v>
      </c>
      <c r="H55" s="281">
        <v>1</v>
      </c>
      <c r="I55" s="282"/>
      <c r="J55" s="283"/>
      <c r="K55" s="282"/>
      <c r="L55" s="284"/>
    </row>
    <row r="56" spans="1:12" ht="15">
      <c r="A56" s="194">
        <v>1636</v>
      </c>
      <c r="B56" s="325" t="s">
        <v>175</v>
      </c>
      <c r="C56" s="403">
        <v>18.76</v>
      </c>
      <c r="D56" s="399">
        <v>8.91</v>
      </c>
      <c r="E56" s="285">
        <v>5</v>
      </c>
      <c r="F56" s="279">
        <v>0.25</v>
      </c>
      <c r="G56" s="280">
        <v>1</v>
      </c>
      <c r="H56" s="281">
        <v>1</v>
      </c>
      <c r="I56" s="282"/>
      <c r="J56" s="283"/>
      <c r="K56" s="282"/>
      <c r="L56" s="284"/>
    </row>
    <row r="57" spans="1:12" ht="15">
      <c r="A57" s="194">
        <v>1638</v>
      </c>
      <c r="B57" s="325" t="s">
        <v>176</v>
      </c>
      <c r="C57" s="403">
        <v>23.89</v>
      </c>
      <c r="D57" s="399">
        <v>9</v>
      </c>
      <c r="E57" s="286">
        <v>5</v>
      </c>
      <c r="F57" s="279">
        <v>0.29</v>
      </c>
      <c r="G57" s="280">
        <v>1</v>
      </c>
      <c r="H57" s="281">
        <v>1</v>
      </c>
      <c r="I57" s="282">
        <v>1</v>
      </c>
      <c r="J57" s="283" t="s">
        <v>263</v>
      </c>
      <c r="K57" s="282"/>
      <c r="L57" s="284"/>
    </row>
    <row r="58" spans="1:12" ht="15">
      <c r="A58" s="194">
        <v>1639</v>
      </c>
      <c r="B58" s="325" t="s">
        <v>177</v>
      </c>
      <c r="C58" s="403">
        <v>22.99</v>
      </c>
      <c r="D58" s="399">
        <v>9.15</v>
      </c>
      <c r="E58" s="285">
        <v>5</v>
      </c>
      <c r="F58" s="279">
        <v>0.96</v>
      </c>
      <c r="G58" s="280">
        <v>7</v>
      </c>
      <c r="H58" s="281">
        <v>9</v>
      </c>
      <c r="I58" s="282"/>
      <c r="J58" s="283"/>
      <c r="K58" s="282"/>
      <c r="L58" s="284"/>
    </row>
    <row r="59" spans="1:12" ht="15">
      <c r="A59" s="194">
        <v>1640</v>
      </c>
      <c r="B59" s="325" t="s">
        <v>178</v>
      </c>
      <c r="C59" s="403">
        <v>21.71</v>
      </c>
      <c r="D59" s="399">
        <v>8.49</v>
      </c>
      <c r="E59" s="285">
        <v>6</v>
      </c>
      <c r="F59" s="279">
        <v>0.71</v>
      </c>
      <c r="G59" s="280">
        <v>5</v>
      </c>
      <c r="H59" s="281">
        <v>5</v>
      </c>
      <c r="I59" s="282"/>
      <c r="J59" s="283"/>
      <c r="K59" s="282"/>
      <c r="L59" s="284"/>
    </row>
    <row r="60" spans="1:12" ht="15">
      <c r="A60" s="194">
        <v>1642</v>
      </c>
      <c r="B60" s="325" t="s">
        <v>179</v>
      </c>
      <c r="C60" s="403">
        <v>23.26</v>
      </c>
      <c r="D60" s="399">
        <v>9.32</v>
      </c>
      <c r="E60" s="285">
        <v>5</v>
      </c>
      <c r="F60" s="279">
        <v>0.32</v>
      </c>
      <c r="G60" s="280">
        <v>5</v>
      </c>
      <c r="H60" s="281"/>
      <c r="I60" s="282">
        <v>5</v>
      </c>
      <c r="J60" s="283"/>
      <c r="K60" s="282"/>
      <c r="L60" s="284"/>
    </row>
    <row r="61" spans="1:12" ht="15">
      <c r="A61" s="194">
        <v>1643</v>
      </c>
      <c r="B61" s="405" t="s">
        <v>180</v>
      </c>
      <c r="C61" s="393">
        <v>17.31</v>
      </c>
      <c r="D61" s="399">
        <v>8.74</v>
      </c>
      <c r="E61" s="286" t="s">
        <v>262</v>
      </c>
      <c r="F61" s="279">
        <v>0.27</v>
      </c>
      <c r="G61" s="280">
        <v>5</v>
      </c>
      <c r="H61" s="281"/>
      <c r="I61" s="282">
        <v>5</v>
      </c>
      <c r="J61" s="283"/>
      <c r="K61" s="282"/>
      <c r="L61" s="284"/>
    </row>
    <row r="62" spans="1:12" ht="15">
      <c r="A62" s="194">
        <v>1644</v>
      </c>
      <c r="B62" s="244" t="s">
        <v>181</v>
      </c>
      <c r="C62" s="392">
        <v>17.65</v>
      </c>
      <c r="D62" s="399">
        <v>8.76</v>
      </c>
      <c r="E62" s="285">
        <v>7</v>
      </c>
      <c r="F62" s="279">
        <v>0.48</v>
      </c>
      <c r="G62" s="280">
        <v>5</v>
      </c>
      <c r="H62" s="281"/>
      <c r="I62" s="282">
        <v>5</v>
      </c>
      <c r="J62" s="283"/>
      <c r="K62" s="282"/>
      <c r="L62" s="284"/>
    </row>
    <row r="63" spans="1:12" ht="15">
      <c r="A63" s="194">
        <v>1645</v>
      </c>
      <c r="B63" s="244" t="s">
        <v>182</v>
      </c>
      <c r="C63" s="392">
        <v>4.71</v>
      </c>
      <c r="D63" s="399">
        <v>6.57</v>
      </c>
      <c r="E63" s="286" t="s">
        <v>262</v>
      </c>
      <c r="F63" s="279">
        <v>1</v>
      </c>
      <c r="G63" s="280">
        <v>9</v>
      </c>
      <c r="H63" s="281">
        <v>9</v>
      </c>
      <c r="I63" s="282">
        <v>9</v>
      </c>
      <c r="J63" s="283"/>
      <c r="K63" s="282">
        <v>9</v>
      </c>
      <c r="L63" s="284"/>
    </row>
    <row r="64" spans="1:12" ht="15">
      <c r="A64" s="194">
        <v>1646</v>
      </c>
      <c r="B64" s="244" t="s">
        <v>183</v>
      </c>
      <c r="C64" s="392">
        <v>21.99</v>
      </c>
      <c r="D64" s="399">
        <v>10.4</v>
      </c>
      <c r="E64" s="285">
        <v>5</v>
      </c>
      <c r="F64" s="279">
        <v>0.56</v>
      </c>
      <c r="G64" s="280">
        <v>7</v>
      </c>
      <c r="H64" s="281"/>
      <c r="I64" s="282">
        <v>9</v>
      </c>
      <c r="J64" s="283"/>
      <c r="K64" s="282"/>
      <c r="L64" s="284"/>
    </row>
    <row r="65" spans="1:12" ht="15">
      <c r="A65" s="194">
        <v>1647</v>
      </c>
      <c r="B65" s="244" t="s">
        <v>184</v>
      </c>
      <c r="C65" s="396"/>
      <c r="D65" s="399">
        <v>10.7</v>
      </c>
      <c r="E65" s="285">
        <v>6</v>
      </c>
      <c r="F65" s="279">
        <v>0.83</v>
      </c>
      <c r="G65" s="280">
        <v>7</v>
      </c>
      <c r="H65" s="281"/>
      <c r="I65" s="282">
        <v>9</v>
      </c>
      <c r="J65" s="283" t="s">
        <v>260</v>
      </c>
      <c r="K65" s="282"/>
      <c r="L65" s="284"/>
    </row>
    <row r="66" spans="1:12" ht="15">
      <c r="A66" s="194">
        <v>1648</v>
      </c>
      <c r="B66" s="325" t="s">
        <v>185</v>
      </c>
      <c r="C66" s="393">
        <v>22.27</v>
      </c>
      <c r="D66" s="399">
        <v>9.57</v>
      </c>
      <c r="E66" s="285">
        <v>6</v>
      </c>
      <c r="F66" s="279">
        <v>0.71</v>
      </c>
      <c r="G66" s="280">
        <v>5</v>
      </c>
      <c r="H66" s="281"/>
      <c r="I66" s="282">
        <v>5</v>
      </c>
      <c r="J66" s="283" t="s">
        <v>260</v>
      </c>
      <c r="K66" s="282"/>
      <c r="L66" s="284"/>
    </row>
    <row r="67" spans="1:12" ht="15">
      <c r="A67" s="194">
        <v>1649</v>
      </c>
      <c r="B67" s="325" t="s">
        <v>186</v>
      </c>
      <c r="C67" s="403">
        <v>24.87</v>
      </c>
      <c r="D67" s="399">
        <v>9.32</v>
      </c>
      <c r="E67" s="285">
        <v>5</v>
      </c>
      <c r="F67" s="279">
        <v>0.61</v>
      </c>
      <c r="G67" s="280">
        <v>5</v>
      </c>
      <c r="H67" s="281"/>
      <c r="I67" s="282">
        <v>5</v>
      </c>
      <c r="J67" s="283"/>
      <c r="K67" s="282"/>
      <c r="L67" s="284"/>
    </row>
    <row r="68" spans="1:12" ht="15">
      <c r="A68" s="194">
        <v>1650</v>
      </c>
      <c r="B68" s="325" t="s">
        <v>188</v>
      </c>
      <c r="C68" s="403">
        <v>22.23</v>
      </c>
      <c r="D68" s="399">
        <v>10.1</v>
      </c>
      <c r="E68" s="285">
        <v>6</v>
      </c>
      <c r="F68" s="279">
        <v>0.56</v>
      </c>
      <c r="G68" s="280">
        <v>7</v>
      </c>
      <c r="H68" s="281"/>
      <c r="I68" s="282">
        <v>9</v>
      </c>
      <c r="J68" s="283" t="s">
        <v>260</v>
      </c>
      <c r="K68" s="282"/>
      <c r="L68" s="284"/>
    </row>
    <row r="69" spans="1:12" ht="15">
      <c r="A69" s="194">
        <v>1651</v>
      </c>
      <c r="B69" s="405" t="s">
        <v>189</v>
      </c>
      <c r="C69" s="403">
        <v>25.36</v>
      </c>
      <c r="D69" s="399">
        <v>9.24</v>
      </c>
      <c r="E69" s="285">
        <v>5</v>
      </c>
      <c r="F69" s="279">
        <v>0.44</v>
      </c>
      <c r="G69" s="280">
        <v>5</v>
      </c>
      <c r="H69" s="281">
        <v>5</v>
      </c>
      <c r="I69" s="282">
        <v>5</v>
      </c>
      <c r="J69" s="283"/>
      <c r="K69" s="282"/>
      <c r="L69" s="284"/>
    </row>
    <row r="70" spans="1:12" ht="15">
      <c r="A70" s="194">
        <v>1652</v>
      </c>
      <c r="B70" s="405" t="s">
        <v>190</v>
      </c>
      <c r="C70" s="403">
        <v>24.41</v>
      </c>
      <c r="D70" s="399">
        <v>6.99</v>
      </c>
      <c r="E70" s="285">
        <v>5</v>
      </c>
      <c r="F70" s="279">
        <v>0.04</v>
      </c>
      <c r="G70" s="280">
        <v>1</v>
      </c>
      <c r="H70" s="281">
        <v>9</v>
      </c>
      <c r="I70" s="282"/>
      <c r="J70" s="283"/>
      <c r="K70" s="282"/>
      <c r="L70" s="284"/>
    </row>
    <row r="71" spans="1:12" ht="15">
      <c r="A71" s="194">
        <v>1653</v>
      </c>
      <c r="B71" s="325" t="s">
        <v>191</v>
      </c>
      <c r="C71" s="393">
        <v>18.02</v>
      </c>
      <c r="D71" s="399">
        <v>7.65</v>
      </c>
      <c r="E71" s="285">
        <v>3</v>
      </c>
      <c r="F71" s="279">
        <v>0.89</v>
      </c>
      <c r="G71" s="280">
        <v>9</v>
      </c>
      <c r="H71" s="281">
        <v>9</v>
      </c>
      <c r="I71" s="282">
        <v>9</v>
      </c>
      <c r="J71" s="283"/>
      <c r="K71" s="282"/>
      <c r="L71" s="284"/>
    </row>
    <row r="72" spans="1:12" ht="15">
      <c r="A72" s="194">
        <v>1654</v>
      </c>
      <c r="B72" s="325" t="s">
        <v>192</v>
      </c>
      <c r="C72" s="403">
        <v>23.38</v>
      </c>
      <c r="D72" s="399">
        <v>8.2</v>
      </c>
      <c r="E72" s="285">
        <v>5</v>
      </c>
      <c r="F72" s="279">
        <v>1</v>
      </c>
      <c r="G72" s="280">
        <v>7</v>
      </c>
      <c r="H72" s="281">
        <v>9</v>
      </c>
      <c r="I72" s="282"/>
      <c r="J72" s="283"/>
      <c r="K72" s="282"/>
      <c r="L72" s="284"/>
    </row>
    <row r="73" spans="1:12" ht="15">
      <c r="A73" s="194">
        <v>1655</v>
      </c>
      <c r="B73" s="325" t="s">
        <v>193</v>
      </c>
      <c r="C73" s="403">
        <v>19.9</v>
      </c>
      <c r="D73" s="399">
        <v>7.2</v>
      </c>
      <c r="E73" s="286" t="s">
        <v>262</v>
      </c>
      <c r="F73" s="279">
        <v>0.05</v>
      </c>
      <c r="G73" s="280">
        <v>9</v>
      </c>
      <c r="H73" s="281">
        <v>9</v>
      </c>
      <c r="I73" s="282">
        <v>9</v>
      </c>
      <c r="J73" s="283"/>
      <c r="K73" s="282">
        <v>5</v>
      </c>
      <c r="L73" s="284"/>
    </row>
    <row r="74" spans="1:12" ht="15">
      <c r="A74" s="194">
        <v>1656</v>
      </c>
      <c r="B74" s="325" t="s">
        <v>194</v>
      </c>
      <c r="C74" s="403">
        <v>19.14</v>
      </c>
      <c r="D74" s="399">
        <v>7.08</v>
      </c>
      <c r="E74" s="286">
        <v>5</v>
      </c>
      <c r="F74" s="279">
        <v>0.38</v>
      </c>
      <c r="G74" s="280">
        <v>5</v>
      </c>
      <c r="H74" s="281">
        <v>9</v>
      </c>
      <c r="I74" s="282"/>
      <c r="J74" s="283"/>
      <c r="K74" s="282"/>
      <c r="L74" s="284"/>
    </row>
    <row r="75" spans="1:12" ht="15">
      <c r="A75" s="196">
        <v>675</v>
      </c>
      <c r="B75" s="325" t="s">
        <v>195</v>
      </c>
      <c r="C75" s="403">
        <v>23.56</v>
      </c>
      <c r="D75" s="399">
        <v>7.2</v>
      </c>
      <c r="E75" s="285">
        <v>5</v>
      </c>
      <c r="F75" s="279">
        <v>0.56</v>
      </c>
      <c r="G75" s="280">
        <v>7</v>
      </c>
      <c r="H75" s="281"/>
      <c r="I75" s="282">
        <v>9</v>
      </c>
      <c r="J75" s="283" t="s">
        <v>260</v>
      </c>
      <c r="K75" s="282"/>
      <c r="L75" s="284"/>
    </row>
    <row r="76" spans="1:12" ht="15">
      <c r="A76" s="194">
        <v>1658</v>
      </c>
      <c r="B76" s="325" t="s">
        <v>196</v>
      </c>
      <c r="C76" s="403">
        <v>22.33</v>
      </c>
      <c r="D76" s="399">
        <v>7.07</v>
      </c>
      <c r="E76" s="285">
        <v>5</v>
      </c>
      <c r="F76" s="279">
        <v>0.79</v>
      </c>
      <c r="G76" s="280">
        <v>9</v>
      </c>
      <c r="H76" s="281">
        <v>5</v>
      </c>
      <c r="I76" s="282">
        <v>9</v>
      </c>
      <c r="J76" s="283" t="s">
        <v>260</v>
      </c>
      <c r="K76" s="282"/>
      <c r="L76" s="284"/>
    </row>
    <row r="77" spans="1:12" ht="15">
      <c r="A77" s="194">
        <v>1659</v>
      </c>
      <c r="B77" s="325" t="s">
        <v>197</v>
      </c>
      <c r="C77" s="403">
        <v>24.22</v>
      </c>
      <c r="D77" s="399">
        <v>7.32</v>
      </c>
      <c r="E77" s="285">
        <v>3</v>
      </c>
      <c r="F77" s="279">
        <v>0.96</v>
      </c>
      <c r="G77" s="280">
        <v>7</v>
      </c>
      <c r="H77" s="281"/>
      <c r="I77" s="282">
        <v>9</v>
      </c>
      <c r="J77" s="283" t="s">
        <v>260</v>
      </c>
      <c r="K77" s="282"/>
      <c r="L77" s="284"/>
    </row>
    <row r="78" spans="1:12" ht="15">
      <c r="A78" s="194">
        <v>1660</v>
      </c>
      <c r="B78" s="325" t="s">
        <v>198</v>
      </c>
      <c r="C78" s="403">
        <v>22.15</v>
      </c>
      <c r="D78" s="399">
        <v>10.2</v>
      </c>
      <c r="E78" s="285">
        <v>5</v>
      </c>
      <c r="F78" s="279">
        <v>1</v>
      </c>
      <c r="G78" s="280">
        <v>7</v>
      </c>
      <c r="H78" s="281"/>
      <c r="I78" s="282">
        <v>9</v>
      </c>
      <c r="J78" s="283" t="s">
        <v>260</v>
      </c>
      <c r="K78" s="282"/>
      <c r="L78" s="284"/>
    </row>
    <row r="79" spans="1:12" ht="15">
      <c r="A79" s="194">
        <v>1661</v>
      </c>
      <c r="B79" s="325" t="s">
        <v>199</v>
      </c>
      <c r="C79" s="403">
        <v>21.92</v>
      </c>
      <c r="D79" s="399">
        <v>10.1</v>
      </c>
      <c r="E79" s="285">
        <v>6</v>
      </c>
      <c r="F79" s="279">
        <v>0.87</v>
      </c>
      <c r="G79" s="280">
        <v>9</v>
      </c>
      <c r="H79" s="281">
        <v>9</v>
      </c>
      <c r="I79" s="282">
        <v>9</v>
      </c>
      <c r="J79" s="283"/>
      <c r="K79" s="282"/>
      <c r="L79" s="284"/>
    </row>
    <row r="80" spans="1:12" ht="15">
      <c r="A80" s="194">
        <v>1662</v>
      </c>
      <c r="B80" s="325" t="s">
        <v>200</v>
      </c>
      <c r="C80" s="403">
        <v>17.17</v>
      </c>
      <c r="D80" s="399">
        <v>7.41</v>
      </c>
      <c r="E80" s="286">
        <v>6</v>
      </c>
      <c r="F80" s="279">
        <v>0.46</v>
      </c>
      <c r="G80" s="280">
        <v>5</v>
      </c>
      <c r="H80" s="281">
        <v>5</v>
      </c>
      <c r="I80" s="282"/>
      <c r="J80" s="283"/>
      <c r="K80" s="282"/>
      <c r="L80" s="284"/>
    </row>
    <row r="81" spans="1:12" ht="15">
      <c r="A81" s="194">
        <v>1663</v>
      </c>
      <c r="B81" s="325" t="s">
        <v>201</v>
      </c>
      <c r="C81" s="403">
        <v>16.69</v>
      </c>
      <c r="D81" s="399">
        <v>8.41</v>
      </c>
      <c r="E81" s="285">
        <v>6</v>
      </c>
      <c r="F81" s="279">
        <v>0.38</v>
      </c>
      <c r="G81" s="280">
        <v>3</v>
      </c>
      <c r="H81" s="281">
        <v>5</v>
      </c>
      <c r="I81" s="282"/>
      <c r="J81" s="283"/>
      <c r="K81" s="282"/>
      <c r="L81" s="284"/>
    </row>
    <row r="82" spans="1:12" ht="15">
      <c r="A82" s="194">
        <v>1665</v>
      </c>
      <c r="B82" s="325" t="s">
        <v>202</v>
      </c>
      <c r="C82" s="403">
        <v>19.26</v>
      </c>
      <c r="D82" s="399">
        <v>7.4</v>
      </c>
      <c r="E82" s="285">
        <v>6</v>
      </c>
      <c r="F82" s="279">
        <v>0.92</v>
      </c>
      <c r="G82" s="280">
        <v>9</v>
      </c>
      <c r="H82" s="281">
        <v>9</v>
      </c>
      <c r="I82" s="282">
        <v>5</v>
      </c>
      <c r="J82" s="283" t="s">
        <v>260</v>
      </c>
      <c r="K82" s="282"/>
      <c r="L82" s="284"/>
    </row>
    <row r="83" spans="1:12" ht="15">
      <c r="A83" s="194">
        <v>1666</v>
      </c>
      <c r="B83" s="325" t="s">
        <v>203</v>
      </c>
      <c r="C83" s="403">
        <v>22.06</v>
      </c>
      <c r="D83" s="399">
        <v>8.99</v>
      </c>
      <c r="E83" s="285">
        <v>5</v>
      </c>
      <c r="F83" s="279">
        <v>0.19</v>
      </c>
      <c r="G83" s="280">
        <v>1</v>
      </c>
      <c r="H83" s="281"/>
      <c r="I83" s="282">
        <v>1</v>
      </c>
      <c r="J83" s="283"/>
      <c r="K83" s="282"/>
      <c r="L83" s="284"/>
    </row>
    <row r="84" spans="1:12" ht="15">
      <c r="A84" s="194">
        <v>1667</v>
      </c>
      <c r="B84" s="325" t="s">
        <v>204</v>
      </c>
      <c r="C84" s="403">
        <v>18.39</v>
      </c>
      <c r="D84" s="399">
        <v>8.32</v>
      </c>
      <c r="E84" s="285">
        <v>6</v>
      </c>
      <c r="F84" s="279">
        <v>0.3</v>
      </c>
      <c r="G84" s="280">
        <v>3</v>
      </c>
      <c r="H84" s="281">
        <v>5</v>
      </c>
      <c r="I84" s="282"/>
      <c r="J84" s="283"/>
      <c r="K84" s="282"/>
      <c r="L84" s="284"/>
    </row>
    <row r="85" spans="1:12" ht="15">
      <c r="A85" s="194">
        <v>1668</v>
      </c>
      <c r="B85" s="325" t="s">
        <v>205</v>
      </c>
      <c r="C85" s="402"/>
      <c r="D85" s="399">
        <v>9.2</v>
      </c>
      <c r="E85" s="285">
        <v>6</v>
      </c>
      <c r="F85" s="279">
        <v>0.28</v>
      </c>
      <c r="G85" s="280">
        <v>9</v>
      </c>
      <c r="H85" s="281">
        <v>9</v>
      </c>
      <c r="I85" s="282">
        <v>5</v>
      </c>
      <c r="J85" s="283"/>
      <c r="K85" s="282"/>
      <c r="L85" s="284"/>
    </row>
    <row r="86" spans="1:12" ht="15">
      <c r="A86" s="194">
        <v>1669</v>
      </c>
      <c r="B86" s="325" t="s">
        <v>206</v>
      </c>
      <c r="C86" s="403">
        <v>23.06</v>
      </c>
      <c r="D86" s="399">
        <v>10.2</v>
      </c>
      <c r="E86" s="285">
        <v>5</v>
      </c>
      <c r="F86" s="279">
        <v>0.71</v>
      </c>
      <c r="G86" s="280">
        <v>9</v>
      </c>
      <c r="H86" s="281">
        <v>9</v>
      </c>
      <c r="I86" s="282">
        <v>9</v>
      </c>
      <c r="J86" s="283"/>
      <c r="K86" s="282"/>
      <c r="L86" s="284"/>
    </row>
    <row r="87" spans="1:12" ht="15">
      <c r="A87" s="194">
        <v>1670</v>
      </c>
      <c r="B87" s="325" t="s">
        <v>207</v>
      </c>
      <c r="C87" s="403">
        <v>18.15</v>
      </c>
      <c r="D87" s="399">
        <v>6.99</v>
      </c>
      <c r="E87" s="285">
        <v>6</v>
      </c>
      <c r="F87" s="279">
        <v>0.78</v>
      </c>
      <c r="G87" s="280">
        <v>5</v>
      </c>
      <c r="H87" s="281">
        <v>5</v>
      </c>
      <c r="I87" s="282">
        <v>5</v>
      </c>
      <c r="J87" s="283" t="s">
        <v>263</v>
      </c>
      <c r="K87" s="282"/>
      <c r="L87" s="284"/>
    </row>
    <row r="88" spans="1:12" ht="15">
      <c r="A88" s="194">
        <v>1671</v>
      </c>
      <c r="B88" s="325" t="s">
        <v>208</v>
      </c>
      <c r="C88" s="403">
        <v>19.76</v>
      </c>
      <c r="D88" s="399">
        <v>6.74</v>
      </c>
      <c r="E88" s="286">
        <v>6</v>
      </c>
      <c r="F88" s="279">
        <v>0.74</v>
      </c>
      <c r="G88" s="280">
        <v>9</v>
      </c>
      <c r="H88" s="281">
        <v>9</v>
      </c>
      <c r="I88" s="282">
        <v>9</v>
      </c>
      <c r="J88" s="283" t="s">
        <v>260</v>
      </c>
      <c r="K88" s="282"/>
      <c r="L88" s="284"/>
    </row>
    <row r="89" spans="1:12" ht="15">
      <c r="A89" s="194">
        <v>1672</v>
      </c>
      <c r="B89" s="325" t="s">
        <v>209</v>
      </c>
      <c r="C89" s="393">
        <v>18.46</v>
      </c>
      <c r="D89" s="399">
        <v>8.74</v>
      </c>
      <c r="E89" s="286">
        <v>6</v>
      </c>
      <c r="F89" s="279">
        <v>0.03</v>
      </c>
      <c r="G89" s="280">
        <v>1</v>
      </c>
      <c r="H89" s="281">
        <v>1</v>
      </c>
      <c r="I89" s="282">
        <v>5</v>
      </c>
      <c r="J89" s="283" t="s">
        <v>263</v>
      </c>
      <c r="K89" s="282"/>
      <c r="L89" s="284"/>
    </row>
    <row r="90" spans="1:12" ht="15">
      <c r="A90" s="194">
        <v>1673</v>
      </c>
      <c r="B90" s="325" t="s">
        <v>210</v>
      </c>
      <c r="C90" s="403">
        <v>22.31</v>
      </c>
      <c r="D90" s="399">
        <v>9.49</v>
      </c>
      <c r="E90" s="285">
        <v>5</v>
      </c>
      <c r="F90" s="279">
        <v>0.93</v>
      </c>
      <c r="G90" s="280">
        <v>9</v>
      </c>
      <c r="H90" s="281">
        <v>9</v>
      </c>
      <c r="I90" s="282">
        <v>9</v>
      </c>
      <c r="J90" s="283" t="s">
        <v>260</v>
      </c>
      <c r="K90" s="282"/>
      <c r="L90" s="284"/>
    </row>
    <row r="91" spans="1:12" ht="15">
      <c r="A91" s="194">
        <v>1674</v>
      </c>
      <c r="B91" s="325" t="s">
        <v>211</v>
      </c>
      <c r="C91" s="403">
        <v>18.33</v>
      </c>
      <c r="D91" s="399">
        <v>7.49</v>
      </c>
      <c r="E91" s="285">
        <v>5</v>
      </c>
      <c r="F91" s="279">
        <v>0.34</v>
      </c>
      <c r="G91" s="280">
        <v>5</v>
      </c>
      <c r="H91" s="281">
        <v>5</v>
      </c>
      <c r="I91" s="282"/>
      <c r="J91" s="283"/>
      <c r="K91" s="282"/>
      <c r="L91" s="284"/>
    </row>
    <row r="92" spans="1:12" ht="15">
      <c r="A92" s="194">
        <v>1676</v>
      </c>
      <c r="B92" s="325" t="s">
        <v>212</v>
      </c>
      <c r="C92" s="393">
        <v>17.36</v>
      </c>
      <c r="D92" s="399">
        <v>6.66</v>
      </c>
      <c r="E92" s="285">
        <v>6</v>
      </c>
      <c r="F92" s="279">
        <v>0.91</v>
      </c>
      <c r="G92" s="280">
        <v>9</v>
      </c>
      <c r="H92" s="281">
        <v>9</v>
      </c>
      <c r="I92" s="282">
        <v>5</v>
      </c>
      <c r="J92" s="283" t="s">
        <v>263</v>
      </c>
      <c r="K92" s="282"/>
      <c r="L92" s="284"/>
    </row>
    <row r="93" spans="1:12" ht="15">
      <c r="A93" s="194">
        <v>1678</v>
      </c>
      <c r="B93" s="405" t="s">
        <v>213</v>
      </c>
      <c r="C93" s="403">
        <v>24.56</v>
      </c>
      <c r="D93" s="399">
        <v>7.82</v>
      </c>
      <c r="E93" s="285">
        <v>5</v>
      </c>
      <c r="F93" s="279">
        <v>0.86</v>
      </c>
      <c r="G93" s="280">
        <v>9</v>
      </c>
      <c r="H93" s="281">
        <v>9</v>
      </c>
      <c r="I93" s="282">
        <v>9</v>
      </c>
      <c r="J93" s="283" t="s">
        <v>263</v>
      </c>
      <c r="K93" s="282"/>
      <c r="L93" s="284"/>
    </row>
    <row r="94" spans="1:12" ht="15">
      <c r="A94" s="194">
        <v>1679</v>
      </c>
      <c r="B94" s="325" t="s">
        <v>214</v>
      </c>
      <c r="C94" s="403">
        <v>19.1</v>
      </c>
      <c r="D94" s="399">
        <v>8.57</v>
      </c>
      <c r="E94" s="285">
        <v>6</v>
      </c>
      <c r="F94" s="279">
        <v>0.32</v>
      </c>
      <c r="G94" s="280">
        <v>5</v>
      </c>
      <c r="H94" s="281">
        <v>5</v>
      </c>
      <c r="I94" s="282">
        <v>1</v>
      </c>
      <c r="J94" s="283" t="s">
        <v>263</v>
      </c>
      <c r="K94" s="282"/>
      <c r="L94" s="284"/>
    </row>
    <row r="95" spans="1:12" ht="15">
      <c r="A95" s="194">
        <v>1680</v>
      </c>
      <c r="B95" s="325" t="s">
        <v>215</v>
      </c>
      <c r="C95" s="393">
        <v>17.25</v>
      </c>
      <c r="D95" s="399">
        <v>6.83</v>
      </c>
      <c r="E95" s="286">
        <v>6</v>
      </c>
      <c r="F95" s="279">
        <v>0.45</v>
      </c>
      <c r="G95" s="280">
        <v>5</v>
      </c>
      <c r="H95" s="281">
        <v>5</v>
      </c>
      <c r="I95" s="282"/>
      <c r="J95" s="283"/>
      <c r="K95" s="282">
        <v>5</v>
      </c>
      <c r="L95" s="284"/>
    </row>
    <row r="96" spans="1:12" ht="15">
      <c r="A96" s="194">
        <v>1681</v>
      </c>
      <c r="B96" s="325" t="s">
        <v>216</v>
      </c>
      <c r="C96" s="393">
        <v>15.73</v>
      </c>
      <c r="D96" s="399">
        <v>8.91</v>
      </c>
      <c r="E96" s="286">
        <v>7</v>
      </c>
      <c r="F96" s="279">
        <v>0.27</v>
      </c>
      <c r="G96" s="280">
        <v>9</v>
      </c>
      <c r="H96" s="281">
        <v>9</v>
      </c>
      <c r="I96" s="282">
        <v>9</v>
      </c>
      <c r="J96" s="283"/>
      <c r="K96" s="282"/>
      <c r="L96" s="284"/>
    </row>
    <row r="97" spans="1:12" ht="15">
      <c r="A97" s="194">
        <v>1682</v>
      </c>
      <c r="B97" s="325" t="s">
        <v>217</v>
      </c>
      <c r="C97" s="403">
        <v>20.68</v>
      </c>
      <c r="D97" s="399">
        <v>7.91</v>
      </c>
      <c r="E97" s="285">
        <v>3</v>
      </c>
      <c r="F97" s="279">
        <v>0.64</v>
      </c>
      <c r="G97" s="280">
        <v>5</v>
      </c>
      <c r="H97" s="281">
        <v>5</v>
      </c>
      <c r="I97" s="282">
        <v>5</v>
      </c>
      <c r="J97" s="283"/>
      <c r="K97" s="282"/>
      <c r="L97" s="284"/>
    </row>
    <row r="98" spans="1:12" ht="15">
      <c r="A98" s="194">
        <v>1684</v>
      </c>
      <c r="B98" s="325" t="s">
        <v>218</v>
      </c>
      <c r="C98" s="403">
        <v>19.17</v>
      </c>
      <c r="D98" s="399">
        <v>7.57</v>
      </c>
      <c r="E98" s="286">
        <v>6</v>
      </c>
      <c r="F98" s="279">
        <v>0.39</v>
      </c>
      <c r="G98" s="280">
        <v>9</v>
      </c>
      <c r="H98" s="281">
        <v>9</v>
      </c>
      <c r="I98" s="282">
        <v>9</v>
      </c>
      <c r="J98" s="283"/>
      <c r="K98" s="282"/>
      <c r="L98" s="284"/>
    </row>
    <row r="99" spans="1:12" ht="15">
      <c r="A99" s="194">
        <v>1685</v>
      </c>
      <c r="B99" s="325" t="s">
        <v>219</v>
      </c>
      <c r="C99" s="403">
        <v>22.56</v>
      </c>
      <c r="D99" s="399">
        <v>8.99</v>
      </c>
      <c r="E99" s="285">
        <v>3</v>
      </c>
      <c r="F99" s="279">
        <v>0.56</v>
      </c>
      <c r="G99" s="280">
        <v>9</v>
      </c>
      <c r="H99" s="281">
        <v>9</v>
      </c>
      <c r="I99" s="282">
        <v>9</v>
      </c>
      <c r="J99" s="283" t="s">
        <v>260</v>
      </c>
      <c r="K99" s="282"/>
      <c r="L99" s="284"/>
    </row>
    <row r="100" spans="1:12" ht="15">
      <c r="A100" s="194">
        <v>1686</v>
      </c>
      <c r="B100" s="325" t="s">
        <v>220</v>
      </c>
      <c r="C100" s="403">
        <v>17.11</v>
      </c>
      <c r="D100" s="399">
        <v>8.91</v>
      </c>
      <c r="E100" s="285">
        <v>5</v>
      </c>
      <c r="F100" s="279">
        <v>0.96</v>
      </c>
      <c r="G100" s="280">
        <v>9</v>
      </c>
      <c r="H100" s="281">
        <v>9</v>
      </c>
      <c r="I100" s="282">
        <v>9</v>
      </c>
      <c r="J100" s="283" t="s">
        <v>263</v>
      </c>
      <c r="K100" s="282"/>
      <c r="L100" s="284"/>
    </row>
    <row r="101" spans="1:12" ht="15">
      <c r="A101" s="194">
        <v>1687</v>
      </c>
      <c r="B101" s="325" t="s">
        <v>221</v>
      </c>
      <c r="C101" s="403">
        <v>19.58</v>
      </c>
      <c r="D101" s="399">
        <v>6.2</v>
      </c>
      <c r="E101" s="285">
        <v>7</v>
      </c>
      <c r="F101" s="279">
        <v>0.47</v>
      </c>
      <c r="G101" s="280">
        <v>3</v>
      </c>
      <c r="H101" s="281">
        <v>1</v>
      </c>
      <c r="I101" s="282">
        <v>1</v>
      </c>
      <c r="J101" s="283" t="s">
        <v>263</v>
      </c>
      <c r="K101" s="282"/>
      <c r="L101" s="284"/>
    </row>
    <row r="102" spans="1:12" ht="15">
      <c r="A102" s="194">
        <v>1688</v>
      </c>
      <c r="B102" s="325" t="s">
        <v>222</v>
      </c>
      <c r="C102" s="403">
        <v>19.37</v>
      </c>
      <c r="D102" s="399">
        <v>7.08</v>
      </c>
      <c r="E102" s="285">
        <v>7</v>
      </c>
      <c r="F102" s="279">
        <v>0.79</v>
      </c>
      <c r="G102" s="280">
        <v>5</v>
      </c>
      <c r="H102" s="281">
        <v>5</v>
      </c>
      <c r="I102" s="282">
        <v>1</v>
      </c>
      <c r="J102" s="283" t="s">
        <v>263</v>
      </c>
      <c r="K102" s="282">
        <v>1</v>
      </c>
      <c r="L102" s="284"/>
    </row>
    <row r="103" spans="1:12" ht="15">
      <c r="A103" s="197">
        <v>1689</v>
      </c>
      <c r="B103" s="323" t="s">
        <v>223</v>
      </c>
      <c r="C103" s="403">
        <v>18.43</v>
      </c>
      <c r="D103" s="399">
        <v>7.49</v>
      </c>
      <c r="E103" s="285">
        <v>6</v>
      </c>
      <c r="F103" s="279">
        <v>1</v>
      </c>
      <c r="G103" s="280">
        <v>9</v>
      </c>
      <c r="H103" s="281">
        <v>9</v>
      </c>
      <c r="I103" s="282">
        <v>9</v>
      </c>
      <c r="J103" s="283" t="s">
        <v>263</v>
      </c>
      <c r="K103" s="282"/>
      <c r="L103" s="284"/>
    </row>
    <row r="104" spans="1:12" ht="15">
      <c r="A104" s="197">
        <v>1690</v>
      </c>
      <c r="B104" s="323" t="s">
        <v>224</v>
      </c>
      <c r="C104" s="403">
        <v>17.09</v>
      </c>
      <c r="D104" s="399">
        <v>7.83</v>
      </c>
      <c r="E104" s="285">
        <v>6</v>
      </c>
      <c r="F104" s="279">
        <v>0.81</v>
      </c>
      <c r="G104" s="280">
        <v>5</v>
      </c>
      <c r="H104" s="281">
        <v>5</v>
      </c>
      <c r="I104" s="282">
        <v>5</v>
      </c>
      <c r="J104" s="283" t="s">
        <v>263</v>
      </c>
      <c r="K104" s="282">
        <v>1</v>
      </c>
      <c r="L104" s="284"/>
    </row>
    <row r="105" spans="1:12" ht="15">
      <c r="A105" s="198">
        <v>1691</v>
      </c>
      <c r="B105" s="323" t="s">
        <v>225</v>
      </c>
      <c r="C105" s="403">
        <v>16.87</v>
      </c>
      <c r="D105" s="399">
        <v>7.49</v>
      </c>
      <c r="E105" s="285">
        <v>6</v>
      </c>
      <c r="F105" s="279">
        <v>0.13</v>
      </c>
      <c r="G105" s="280">
        <v>7</v>
      </c>
      <c r="H105" s="281">
        <v>9</v>
      </c>
      <c r="I105" s="282">
        <v>9</v>
      </c>
      <c r="J105" s="283" t="s">
        <v>263</v>
      </c>
      <c r="K105" s="282"/>
      <c r="L105" s="284"/>
    </row>
    <row r="106" spans="1:12" ht="15">
      <c r="A106" s="198">
        <v>1692</v>
      </c>
      <c r="B106" s="323" t="s">
        <v>226</v>
      </c>
      <c r="C106" s="403">
        <v>19.39</v>
      </c>
      <c r="D106" s="399">
        <v>7.66</v>
      </c>
      <c r="E106" s="285">
        <v>1</v>
      </c>
      <c r="F106" s="279">
        <v>0.78</v>
      </c>
      <c r="G106" s="280">
        <v>5</v>
      </c>
      <c r="H106" s="281">
        <v>5</v>
      </c>
      <c r="I106" s="282"/>
      <c r="J106" s="283"/>
      <c r="K106" s="282"/>
      <c r="L106" s="284"/>
    </row>
    <row r="107" spans="1:12" ht="15">
      <c r="A107" s="198">
        <v>1693</v>
      </c>
      <c r="B107" s="323" t="s">
        <v>227</v>
      </c>
      <c r="C107" s="403">
        <v>19</v>
      </c>
      <c r="D107" s="399">
        <v>8.58</v>
      </c>
      <c r="E107" s="285">
        <v>6</v>
      </c>
      <c r="F107" s="279">
        <v>0.96</v>
      </c>
      <c r="G107" s="280">
        <v>9</v>
      </c>
      <c r="H107" s="281">
        <v>9</v>
      </c>
      <c r="I107" s="282">
        <v>9</v>
      </c>
      <c r="J107" s="283"/>
      <c r="K107" s="282"/>
      <c r="L107" s="284"/>
    </row>
    <row r="108" spans="1:12" ht="15">
      <c r="A108" s="198">
        <v>1694</v>
      </c>
      <c r="B108" s="323" t="s">
        <v>228</v>
      </c>
      <c r="C108" s="403">
        <v>21.37</v>
      </c>
      <c r="D108" s="399">
        <v>8.66</v>
      </c>
      <c r="E108" s="286">
        <v>6</v>
      </c>
      <c r="F108" s="279">
        <v>0.99</v>
      </c>
      <c r="G108" s="280">
        <v>7</v>
      </c>
      <c r="H108" s="281">
        <v>1</v>
      </c>
      <c r="I108" s="282">
        <v>9</v>
      </c>
      <c r="J108" s="283"/>
      <c r="K108" s="282"/>
      <c r="L108" s="284"/>
    </row>
    <row r="109" spans="1:12" ht="15">
      <c r="A109" s="198">
        <v>1695</v>
      </c>
      <c r="B109" s="323" t="s">
        <v>229</v>
      </c>
      <c r="C109" s="403">
        <v>17.41</v>
      </c>
      <c r="D109" s="399">
        <v>7.74</v>
      </c>
      <c r="E109" s="286">
        <v>6</v>
      </c>
      <c r="F109" s="279">
        <v>0.68</v>
      </c>
      <c r="G109" s="280">
        <v>5</v>
      </c>
      <c r="H109" s="281">
        <v>5</v>
      </c>
      <c r="I109" s="282">
        <v>5</v>
      </c>
      <c r="J109" s="283" t="s">
        <v>263</v>
      </c>
      <c r="K109" s="282"/>
      <c r="L109" s="284"/>
    </row>
    <row r="110" spans="1:12" ht="15">
      <c r="A110" s="198">
        <v>1696</v>
      </c>
      <c r="B110" s="323" t="s">
        <v>230</v>
      </c>
      <c r="C110" s="403">
        <v>23.51</v>
      </c>
      <c r="D110" s="399">
        <v>9.91</v>
      </c>
      <c r="E110" s="286">
        <v>7</v>
      </c>
      <c r="F110" s="279">
        <v>0.69</v>
      </c>
      <c r="G110" s="280">
        <v>5</v>
      </c>
      <c r="H110" s="281">
        <v>5</v>
      </c>
      <c r="I110" s="282">
        <v>1</v>
      </c>
      <c r="J110" s="283" t="s">
        <v>263</v>
      </c>
      <c r="K110" s="282"/>
      <c r="L110" s="284"/>
    </row>
    <row r="111" spans="1:12" ht="15">
      <c r="A111" s="198">
        <v>1697</v>
      </c>
      <c r="B111" s="323" t="s">
        <v>231</v>
      </c>
      <c r="C111" s="403">
        <v>17.45</v>
      </c>
      <c r="D111" s="399">
        <v>8.07</v>
      </c>
      <c r="E111" s="285">
        <v>6</v>
      </c>
      <c r="F111" s="279">
        <v>0.15</v>
      </c>
      <c r="G111" s="280">
        <v>3</v>
      </c>
      <c r="H111" s="281"/>
      <c r="I111" s="282">
        <v>1</v>
      </c>
      <c r="J111" s="283" t="s">
        <v>263</v>
      </c>
      <c r="K111" s="282"/>
      <c r="L111" s="284"/>
    </row>
    <row r="112" spans="1:12" ht="15">
      <c r="A112" s="198">
        <v>1698</v>
      </c>
      <c r="B112" s="323" t="s">
        <v>232</v>
      </c>
      <c r="C112" s="403">
        <v>18.29</v>
      </c>
      <c r="D112" s="399">
        <v>9.41</v>
      </c>
      <c r="E112" s="286">
        <v>6</v>
      </c>
      <c r="F112" s="279">
        <v>0.76</v>
      </c>
      <c r="G112" s="280">
        <v>5</v>
      </c>
      <c r="H112" s="281">
        <v>5</v>
      </c>
      <c r="I112" s="282">
        <v>5</v>
      </c>
      <c r="J112" s="283"/>
      <c r="K112" s="282"/>
      <c r="L112" s="284"/>
    </row>
    <row r="113" spans="1:12" ht="15">
      <c r="A113" s="197">
        <v>1699</v>
      </c>
      <c r="B113" s="323" t="s">
        <v>233</v>
      </c>
      <c r="C113" s="403">
        <v>19.05</v>
      </c>
      <c r="D113" s="399">
        <v>7.16</v>
      </c>
      <c r="E113" s="286">
        <v>7</v>
      </c>
      <c r="F113" s="279">
        <v>0.59</v>
      </c>
      <c r="G113" s="280">
        <v>5</v>
      </c>
      <c r="H113" s="281">
        <v>1</v>
      </c>
      <c r="I113" s="282">
        <v>5</v>
      </c>
      <c r="J113" s="283" t="s">
        <v>263</v>
      </c>
      <c r="K113" s="282"/>
      <c r="L113" s="284"/>
    </row>
    <row r="114" spans="1:12" ht="15">
      <c r="A114" s="197">
        <v>1700</v>
      </c>
      <c r="B114" s="323" t="s">
        <v>235</v>
      </c>
      <c r="C114" s="403">
        <v>24.76</v>
      </c>
      <c r="D114" s="399">
        <v>7.74</v>
      </c>
      <c r="E114" s="285">
        <v>5</v>
      </c>
      <c r="F114" s="279">
        <v>0.52</v>
      </c>
      <c r="G114" s="280">
        <v>3</v>
      </c>
      <c r="H114" s="281"/>
      <c r="I114" s="282">
        <v>1</v>
      </c>
      <c r="J114" s="283"/>
      <c r="K114" s="282"/>
      <c r="L114" s="284"/>
    </row>
    <row r="115" spans="1:12" ht="15">
      <c r="A115" s="197">
        <v>1701</v>
      </c>
      <c r="B115" s="323" t="s">
        <v>236</v>
      </c>
      <c r="C115" s="393">
        <v>20.03</v>
      </c>
      <c r="D115" s="399">
        <v>7.33</v>
      </c>
      <c r="E115" s="285">
        <v>7</v>
      </c>
      <c r="F115" s="279">
        <v>0.96</v>
      </c>
      <c r="G115" s="280">
        <v>9</v>
      </c>
      <c r="H115" s="281">
        <v>9</v>
      </c>
      <c r="I115" s="282">
        <v>9</v>
      </c>
      <c r="J115" s="283"/>
      <c r="K115" s="282"/>
      <c r="L115" s="284"/>
    </row>
    <row r="116" spans="1:12" ht="15">
      <c r="A116" s="197">
        <v>1702</v>
      </c>
      <c r="B116" s="323" t="s">
        <v>237</v>
      </c>
      <c r="C116" s="403">
        <v>18.54</v>
      </c>
      <c r="D116" s="399">
        <v>7.49</v>
      </c>
      <c r="E116" s="285">
        <v>7</v>
      </c>
      <c r="F116" s="279">
        <v>0.31</v>
      </c>
      <c r="G116" s="280">
        <v>5</v>
      </c>
      <c r="H116" s="281">
        <v>5</v>
      </c>
      <c r="I116" s="282">
        <v>5</v>
      </c>
      <c r="J116" s="283"/>
      <c r="K116" s="282"/>
      <c r="L116" s="284"/>
    </row>
    <row r="117" spans="1:12" ht="15">
      <c r="A117" s="197">
        <v>1703</v>
      </c>
      <c r="B117" s="243" t="s">
        <v>238</v>
      </c>
      <c r="C117" s="392">
        <v>23.32</v>
      </c>
      <c r="D117" s="399">
        <v>9.16</v>
      </c>
      <c r="E117" s="285">
        <v>5</v>
      </c>
      <c r="F117" s="279">
        <v>0.68</v>
      </c>
      <c r="G117" s="280">
        <v>5</v>
      </c>
      <c r="H117" s="281">
        <v>5</v>
      </c>
      <c r="I117" s="282">
        <v>5</v>
      </c>
      <c r="J117" s="283"/>
      <c r="K117" s="282"/>
      <c r="L117" s="284"/>
    </row>
    <row r="118" spans="1:12" ht="15">
      <c r="A118" s="198">
        <v>1704</v>
      </c>
      <c r="B118" s="243" t="s">
        <v>239</v>
      </c>
      <c r="C118" s="392">
        <v>16.47</v>
      </c>
      <c r="D118" s="399">
        <v>8.99</v>
      </c>
      <c r="E118" s="285">
        <v>7</v>
      </c>
      <c r="F118" s="279">
        <v>0.49</v>
      </c>
      <c r="G118" s="280">
        <v>5</v>
      </c>
      <c r="H118" s="281">
        <v>5</v>
      </c>
      <c r="I118" s="282">
        <v>1</v>
      </c>
      <c r="J118" s="283"/>
      <c r="K118" s="282"/>
      <c r="L118" s="284"/>
    </row>
    <row r="119" spans="1:12" ht="15">
      <c r="A119" s="198">
        <v>1705</v>
      </c>
      <c r="B119" s="243" t="s">
        <v>240</v>
      </c>
      <c r="C119" s="392">
        <v>23.11</v>
      </c>
      <c r="D119" s="399">
        <v>8.82</v>
      </c>
      <c r="E119" s="285">
        <v>6</v>
      </c>
      <c r="F119" s="279">
        <v>0.93</v>
      </c>
      <c r="G119" s="280">
        <v>7</v>
      </c>
      <c r="H119" s="281"/>
      <c r="I119" s="282">
        <v>9</v>
      </c>
      <c r="J119" s="283" t="s">
        <v>260</v>
      </c>
      <c r="K119" s="282"/>
      <c r="L119" s="284"/>
    </row>
    <row r="120" spans="1:12" ht="15">
      <c r="A120" s="198">
        <v>1706</v>
      </c>
      <c r="B120" s="243" t="s">
        <v>241</v>
      </c>
      <c r="C120" s="396"/>
      <c r="D120" s="399"/>
      <c r="E120" s="285">
        <v>5</v>
      </c>
      <c r="F120" s="279">
        <v>1</v>
      </c>
      <c r="G120" s="280">
        <v>9</v>
      </c>
      <c r="H120" s="281"/>
      <c r="I120" s="282">
        <v>9</v>
      </c>
      <c r="J120" s="283"/>
      <c r="K120" s="282"/>
      <c r="L120" s="284"/>
    </row>
    <row r="121" spans="1:12" ht="15">
      <c r="A121" s="198">
        <v>1707</v>
      </c>
      <c r="B121" s="243" t="s">
        <v>242</v>
      </c>
      <c r="C121" s="392">
        <v>17.68</v>
      </c>
      <c r="D121" s="399">
        <v>8.07</v>
      </c>
      <c r="E121" s="285">
        <v>6</v>
      </c>
      <c r="F121" s="279">
        <v>0.82</v>
      </c>
      <c r="G121" s="280">
        <v>9</v>
      </c>
      <c r="H121" s="281">
        <v>5</v>
      </c>
      <c r="I121" s="282">
        <v>9</v>
      </c>
      <c r="J121" s="283"/>
      <c r="K121" s="282"/>
      <c r="L121" s="284"/>
    </row>
    <row r="122" spans="1:12" ht="15.75" thickBot="1">
      <c r="A122" s="198">
        <v>1708</v>
      </c>
      <c r="B122" s="243" t="s">
        <v>243</v>
      </c>
      <c r="C122" s="392">
        <v>18.15</v>
      </c>
      <c r="D122" s="400">
        <v>7.57</v>
      </c>
      <c r="E122" s="288">
        <v>6</v>
      </c>
      <c r="F122" s="289">
        <v>0.44</v>
      </c>
      <c r="G122" s="290">
        <v>5</v>
      </c>
      <c r="H122" s="291">
        <v>5</v>
      </c>
      <c r="I122" s="292">
        <v>5</v>
      </c>
      <c r="J122" s="293"/>
      <c r="K122" s="292"/>
      <c r="L122" s="294"/>
    </row>
  </sheetData>
  <sheetProtection/>
  <mergeCells count="1">
    <mergeCell ref="H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F128" sqref="F128"/>
    </sheetView>
  </sheetViews>
  <sheetFormatPr defaultColWidth="10.28125" defaultRowHeight="12.75"/>
  <cols>
    <col min="1" max="1" width="7.140625" style="27" bestFit="1" customWidth="1"/>
    <col min="2" max="2" width="31.28125" style="217" bestFit="1" customWidth="1"/>
    <col min="3" max="3" width="21.00390625" style="215" bestFit="1" customWidth="1"/>
    <col min="4" max="4" width="14.421875" style="215" bestFit="1" customWidth="1"/>
    <col min="5" max="5" width="16.140625" style="297" bestFit="1" customWidth="1"/>
    <col min="6" max="6" width="17.28125" style="297" bestFit="1" customWidth="1"/>
    <col min="7" max="7" width="15.140625" style="297" bestFit="1" customWidth="1"/>
    <col min="8" max="8" width="16.28125" style="297" bestFit="1" customWidth="1"/>
    <col min="9" max="9" width="12.140625" style="215" bestFit="1" customWidth="1"/>
    <col min="10" max="10" width="19.140625" style="258" bestFit="1" customWidth="1"/>
    <col min="11" max="11" width="17.421875" style="215" bestFit="1" customWidth="1"/>
    <col min="12" max="12" width="10.7109375" style="215" bestFit="1" customWidth="1"/>
    <col min="13" max="16384" width="10.28125" style="217" customWidth="1"/>
  </cols>
  <sheetData>
    <row r="1" spans="2:6" ht="15.75">
      <c r="B1" s="214"/>
      <c r="E1" s="295" t="s">
        <v>267</v>
      </c>
      <c r="F1" s="296">
        <v>39604</v>
      </c>
    </row>
    <row r="2" spans="1:12" ht="16.5" thickBot="1">
      <c r="A2" s="52"/>
      <c r="B2" s="219" t="s">
        <v>112</v>
      </c>
      <c r="C2" s="298" t="s">
        <v>65</v>
      </c>
      <c r="D2" s="262" t="s">
        <v>66</v>
      </c>
      <c r="E2" s="367" t="s">
        <v>268</v>
      </c>
      <c r="F2" s="299" t="s">
        <v>67</v>
      </c>
      <c r="G2" s="368" t="s">
        <v>269</v>
      </c>
      <c r="H2" s="300" t="s">
        <v>68</v>
      </c>
      <c r="I2" s="262" t="s">
        <v>69</v>
      </c>
      <c r="J2" s="262" t="s">
        <v>70</v>
      </c>
      <c r="K2" s="262" t="s">
        <v>71</v>
      </c>
      <c r="L2" s="262" t="s">
        <v>72</v>
      </c>
    </row>
    <row r="3" spans="1:12" ht="15">
      <c r="A3" s="90">
        <v>85</v>
      </c>
      <c r="B3" s="223" t="s">
        <v>122</v>
      </c>
      <c r="C3" s="301"/>
      <c r="D3" s="224"/>
      <c r="E3" s="302">
        <v>39687</v>
      </c>
      <c r="F3" s="303">
        <f>E3-$F$1</f>
        <v>83</v>
      </c>
      <c r="G3" s="304">
        <v>39725</v>
      </c>
      <c r="H3" s="305">
        <f>G3-$F$1</f>
        <v>121</v>
      </c>
      <c r="I3" s="306">
        <v>95</v>
      </c>
      <c r="J3" s="307">
        <v>9</v>
      </c>
      <c r="K3" s="224">
        <v>1</v>
      </c>
      <c r="L3" s="224">
        <v>2</v>
      </c>
    </row>
    <row r="4" spans="1:12" ht="15">
      <c r="A4" s="90">
        <v>97</v>
      </c>
      <c r="B4" s="235" t="s">
        <v>123</v>
      </c>
      <c r="C4" s="308"/>
      <c r="D4" s="236"/>
      <c r="E4" s="309">
        <v>39687</v>
      </c>
      <c r="F4" s="303">
        <f aca="true" t="shared" si="0" ref="F4:F67">E4-$F$1</f>
        <v>83</v>
      </c>
      <c r="G4" s="310">
        <v>39725</v>
      </c>
      <c r="H4" s="311">
        <f aca="true" t="shared" si="1" ref="H4:H67">G4-$F$1</f>
        <v>121</v>
      </c>
      <c r="I4" s="312">
        <v>85</v>
      </c>
      <c r="J4" s="313">
        <v>9</v>
      </c>
      <c r="K4" s="236">
        <v>1</v>
      </c>
      <c r="L4" s="236">
        <v>2</v>
      </c>
    </row>
    <row r="5" spans="1:12" ht="15">
      <c r="A5" s="90">
        <v>104</v>
      </c>
      <c r="B5" s="235" t="s">
        <v>124</v>
      </c>
      <c r="C5" s="308"/>
      <c r="D5" s="236"/>
      <c r="E5" s="309">
        <v>39684</v>
      </c>
      <c r="F5" s="303">
        <f t="shared" si="0"/>
        <v>80</v>
      </c>
      <c r="G5" s="310">
        <v>39725</v>
      </c>
      <c r="H5" s="311">
        <f t="shared" si="1"/>
        <v>121</v>
      </c>
      <c r="I5" s="312">
        <v>80</v>
      </c>
      <c r="J5" s="313">
        <v>9</v>
      </c>
      <c r="K5" s="247">
        <v>4</v>
      </c>
      <c r="L5" s="236">
        <v>2</v>
      </c>
    </row>
    <row r="6" spans="1:12" ht="15">
      <c r="A6" s="90">
        <v>109</v>
      </c>
      <c r="B6" s="235" t="s">
        <v>125</v>
      </c>
      <c r="C6" s="308"/>
      <c r="D6" s="236"/>
      <c r="E6" s="309">
        <v>39688</v>
      </c>
      <c r="F6" s="303">
        <f t="shared" si="0"/>
        <v>84</v>
      </c>
      <c r="G6" s="310">
        <v>39725</v>
      </c>
      <c r="H6" s="311">
        <f t="shared" si="1"/>
        <v>121</v>
      </c>
      <c r="I6" s="312">
        <v>83</v>
      </c>
      <c r="J6" s="313">
        <v>9</v>
      </c>
      <c r="K6" s="247">
        <v>4</v>
      </c>
      <c r="L6" s="236">
        <v>2</v>
      </c>
    </row>
    <row r="7" spans="1:12" ht="15">
      <c r="A7" s="90">
        <v>118</v>
      </c>
      <c r="B7" s="243" t="s">
        <v>126</v>
      </c>
      <c r="C7" s="308"/>
      <c r="D7" s="236"/>
      <c r="E7" s="309">
        <v>39707</v>
      </c>
      <c r="F7" s="303">
        <f t="shared" si="0"/>
        <v>103</v>
      </c>
      <c r="G7" s="310">
        <v>39742</v>
      </c>
      <c r="H7" s="311">
        <f t="shared" si="1"/>
        <v>138</v>
      </c>
      <c r="I7" s="312">
        <v>55</v>
      </c>
      <c r="J7" s="313">
        <v>9</v>
      </c>
      <c r="K7" s="236">
        <v>7</v>
      </c>
      <c r="L7" s="236">
        <v>2</v>
      </c>
    </row>
    <row r="8" spans="1:12" ht="15">
      <c r="A8" s="90">
        <v>121</v>
      </c>
      <c r="B8" s="243" t="s">
        <v>127</v>
      </c>
      <c r="C8" s="308"/>
      <c r="D8" s="236"/>
      <c r="E8" s="309">
        <v>39707</v>
      </c>
      <c r="F8" s="303">
        <f t="shared" si="0"/>
        <v>103</v>
      </c>
      <c r="G8" s="310">
        <v>39742</v>
      </c>
      <c r="H8" s="311">
        <f t="shared" si="1"/>
        <v>138</v>
      </c>
      <c r="I8" s="312">
        <v>56</v>
      </c>
      <c r="J8" s="313">
        <v>9</v>
      </c>
      <c r="K8" s="236">
        <v>7</v>
      </c>
      <c r="L8" s="236">
        <v>2</v>
      </c>
    </row>
    <row r="9" spans="1:12" ht="15">
      <c r="A9" s="90">
        <v>122</v>
      </c>
      <c r="B9" s="243" t="s">
        <v>128</v>
      </c>
      <c r="C9" s="308"/>
      <c r="D9" s="236"/>
      <c r="E9" s="309">
        <v>39710</v>
      </c>
      <c r="F9" s="303">
        <f t="shared" si="0"/>
        <v>106</v>
      </c>
      <c r="G9" s="310">
        <v>39753</v>
      </c>
      <c r="H9" s="311">
        <f t="shared" si="1"/>
        <v>149</v>
      </c>
      <c r="I9" s="312">
        <v>70</v>
      </c>
      <c r="J9" s="313">
        <v>9</v>
      </c>
      <c r="K9" s="247">
        <v>4</v>
      </c>
      <c r="L9" s="236">
        <v>5</v>
      </c>
    </row>
    <row r="10" spans="1:12" ht="15">
      <c r="A10" s="90">
        <v>167</v>
      </c>
      <c r="B10" s="243" t="s">
        <v>129</v>
      </c>
      <c r="C10" s="308"/>
      <c r="D10" s="236"/>
      <c r="E10" s="309">
        <v>39711</v>
      </c>
      <c r="F10" s="303">
        <f t="shared" si="0"/>
        <v>107</v>
      </c>
      <c r="G10" s="310">
        <v>39753</v>
      </c>
      <c r="H10" s="311">
        <f t="shared" si="1"/>
        <v>149</v>
      </c>
      <c r="I10" s="312">
        <v>100</v>
      </c>
      <c r="J10" s="313">
        <v>9</v>
      </c>
      <c r="K10" s="236">
        <v>4</v>
      </c>
      <c r="L10" s="236">
        <v>2</v>
      </c>
    </row>
    <row r="11" spans="1:12" ht="15">
      <c r="A11" s="90">
        <v>176</v>
      </c>
      <c r="B11" s="243" t="s">
        <v>130</v>
      </c>
      <c r="C11" s="308"/>
      <c r="D11" s="236"/>
      <c r="E11" s="309">
        <v>39706</v>
      </c>
      <c r="F11" s="303">
        <f t="shared" si="0"/>
        <v>102</v>
      </c>
      <c r="G11" s="310">
        <v>39750</v>
      </c>
      <c r="H11" s="311">
        <f t="shared" si="1"/>
        <v>146</v>
      </c>
      <c r="I11" s="312">
        <v>80</v>
      </c>
      <c r="J11" s="313">
        <v>9</v>
      </c>
      <c r="K11" s="236">
        <v>2</v>
      </c>
      <c r="L11" s="236">
        <v>2</v>
      </c>
    </row>
    <row r="12" spans="1:12" ht="15">
      <c r="A12" s="90">
        <v>323</v>
      </c>
      <c r="B12" s="243" t="s">
        <v>131</v>
      </c>
      <c r="C12" s="308"/>
      <c r="D12" s="236"/>
      <c r="E12" s="309">
        <v>39707</v>
      </c>
      <c r="F12" s="303">
        <f t="shared" si="0"/>
        <v>103</v>
      </c>
      <c r="G12" s="310">
        <v>39753</v>
      </c>
      <c r="H12" s="311">
        <f t="shared" si="1"/>
        <v>149</v>
      </c>
      <c r="I12" s="312">
        <v>45</v>
      </c>
      <c r="J12" s="313">
        <v>9</v>
      </c>
      <c r="K12" s="236">
        <v>7</v>
      </c>
      <c r="L12" s="236">
        <v>2</v>
      </c>
    </row>
    <row r="13" spans="1:12" ht="15">
      <c r="A13" s="90">
        <v>333</v>
      </c>
      <c r="B13" s="243" t="s">
        <v>132</v>
      </c>
      <c r="C13" s="308"/>
      <c r="D13" s="236"/>
      <c r="E13" s="309">
        <v>39720</v>
      </c>
      <c r="F13" s="303">
        <f t="shared" si="0"/>
        <v>116</v>
      </c>
      <c r="G13" s="314"/>
      <c r="H13" s="311"/>
      <c r="I13" s="312">
        <v>75</v>
      </c>
      <c r="J13" s="313">
        <v>9</v>
      </c>
      <c r="K13" s="236">
        <v>7</v>
      </c>
      <c r="L13" s="236">
        <v>2</v>
      </c>
    </row>
    <row r="14" spans="1:12" ht="15">
      <c r="A14" s="90">
        <v>396</v>
      </c>
      <c r="B14" s="243" t="s">
        <v>133</v>
      </c>
      <c r="C14" s="308"/>
      <c r="D14" s="236"/>
      <c r="E14" s="309">
        <v>39721</v>
      </c>
      <c r="F14" s="303">
        <f t="shared" si="0"/>
        <v>117</v>
      </c>
      <c r="G14" s="310">
        <v>39756</v>
      </c>
      <c r="H14" s="311">
        <f t="shared" si="1"/>
        <v>152</v>
      </c>
      <c r="I14" s="312">
        <v>75</v>
      </c>
      <c r="J14" s="313">
        <v>9</v>
      </c>
      <c r="K14" s="236">
        <v>7</v>
      </c>
      <c r="L14" s="236">
        <v>2</v>
      </c>
    </row>
    <row r="15" spans="1:12" ht="15">
      <c r="A15" s="90">
        <v>476</v>
      </c>
      <c r="B15" s="243" t="s">
        <v>134</v>
      </c>
      <c r="C15" s="308"/>
      <c r="D15" s="236"/>
      <c r="E15" s="309">
        <v>39711</v>
      </c>
      <c r="F15" s="303">
        <f t="shared" si="0"/>
        <v>107</v>
      </c>
      <c r="G15" s="310">
        <v>39742</v>
      </c>
      <c r="H15" s="311">
        <f t="shared" si="1"/>
        <v>138</v>
      </c>
      <c r="I15" s="312">
        <v>88</v>
      </c>
      <c r="J15" s="313">
        <v>9</v>
      </c>
      <c r="K15" s="236">
        <v>1</v>
      </c>
      <c r="L15" s="236">
        <v>6</v>
      </c>
    </row>
    <row r="16" spans="1:12" ht="15">
      <c r="A16" s="90">
        <v>477</v>
      </c>
      <c r="B16" s="243" t="s">
        <v>135</v>
      </c>
      <c r="C16" s="308"/>
      <c r="D16" s="236"/>
      <c r="E16" s="309">
        <v>39700</v>
      </c>
      <c r="F16" s="303">
        <f t="shared" si="0"/>
        <v>96</v>
      </c>
      <c r="G16" s="310">
        <v>39743</v>
      </c>
      <c r="H16" s="311">
        <f t="shared" si="1"/>
        <v>139</v>
      </c>
      <c r="I16" s="312">
        <v>98</v>
      </c>
      <c r="J16" s="313">
        <v>9</v>
      </c>
      <c r="K16" s="236">
        <v>4</v>
      </c>
      <c r="L16" s="236">
        <v>6</v>
      </c>
    </row>
    <row r="17" spans="1:12" ht="15">
      <c r="A17" s="90">
        <v>481</v>
      </c>
      <c r="B17" s="243" t="s">
        <v>136</v>
      </c>
      <c r="C17" s="308"/>
      <c r="D17" s="236"/>
      <c r="E17" s="309">
        <v>39696</v>
      </c>
      <c r="F17" s="303">
        <f t="shared" si="0"/>
        <v>92</v>
      </c>
      <c r="G17" s="310">
        <v>39741</v>
      </c>
      <c r="H17" s="311">
        <f t="shared" si="1"/>
        <v>137</v>
      </c>
      <c r="I17" s="312">
        <v>85</v>
      </c>
      <c r="J17" s="315">
        <v>6</v>
      </c>
      <c r="K17" s="236">
        <v>7</v>
      </c>
      <c r="L17" s="236">
        <v>6</v>
      </c>
    </row>
    <row r="18" spans="1:12" ht="15">
      <c r="A18" s="90">
        <v>500</v>
      </c>
      <c r="B18" s="243" t="s">
        <v>137</v>
      </c>
      <c r="C18" s="308"/>
      <c r="D18" s="236"/>
      <c r="E18" s="309">
        <v>39732</v>
      </c>
      <c r="F18" s="303">
        <f t="shared" si="0"/>
        <v>128</v>
      </c>
      <c r="G18" s="314"/>
      <c r="H18" s="311"/>
      <c r="I18" s="312">
        <v>75</v>
      </c>
      <c r="J18" s="313">
        <v>9</v>
      </c>
      <c r="K18" s="236">
        <v>7</v>
      </c>
      <c r="L18" s="236">
        <v>2</v>
      </c>
    </row>
    <row r="19" spans="1:12" ht="15">
      <c r="A19" s="90">
        <v>501</v>
      </c>
      <c r="B19" s="243" t="s">
        <v>138</v>
      </c>
      <c r="C19" s="308"/>
      <c r="D19" s="236"/>
      <c r="E19" s="309">
        <v>39701</v>
      </c>
      <c r="F19" s="303">
        <f t="shared" si="0"/>
        <v>97</v>
      </c>
      <c r="G19" s="310">
        <v>39741</v>
      </c>
      <c r="H19" s="311">
        <f t="shared" si="1"/>
        <v>137</v>
      </c>
      <c r="I19" s="312">
        <v>61</v>
      </c>
      <c r="J19" s="313">
        <v>9</v>
      </c>
      <c r="K19" s="236">
        <v>1</v>
      </c>
      <c r="L19" s="236">
        <v>2</v>
      </c>
    </row>
    <row r="20" spans="1:12" ht="15">
      <c r="A20" s="90">
        <v>502</v>
      </c>
      <c r="B20" s="243" t="s">
        <v>139</v>
      </c>
      <c r="C20" s="308"/>
      <c r="D20" s="236"/>
      <c r="E20" s="309">
        <v>39709</v>
      </c>
      <c r="F20" s="303">
        <f t="shared" si="0"/>
        <v>105</v>
      </c>
      <c r="G20" s="310">
        <v>39731</v>
      </c>
      <c r="H20" s="311">
        <f t="shared" si="1"/>
        <v>127</v>
      </c>
      <c r="I20" s="312">
        <v>90</v>
      </c>
      <c r="J20" s="313">
        <v>9</v>
      </c>
      <c r="K20" s="236">
        <v>1</v>
      </c>
      <c r="L20" s="236">
        <v>3</v>
      </c>
    </row>
    <row r="21" spans="1:12" ht="15">
      <c r="A21" s="90">
        <v>512</v>
      </c>
      <c r="B21" s="244" t="s">
        <v>140</v>
      </c>
      <c r="C21" s="308"/>
      <c r="D21" s="236"/>
      <c r="E21" s="309">
        <v>39701</v>
      </c>
      <c r="F21" s="303">
        <f t="shared" si="0"/>
        <v>97</v>
      </c>
      <c r="G21" s="310">
        <v>39744</v>
      </c>
      <c r="H21" s="311">
        <f t="shared" si="1"/>
        <v>140</v>
      </c>
      <c r="I21" s="312">
        <v>80</v>
      </c>
      <c r="J21" s="313">
        <v>9</v>
      </c>
      <c r="K21" s="236">
        <v>1</v>
      </c>
      <c r="L21" s="236">
        <v>3</v>
      </c>
    </row>
    <row r="22" spans="1:12" ht="15">
      <c r="A22" s="90">
        <v>518</v>
      </c>
      <c r="B22" s="244" t="s">
        <v>141</v>
      </c>
      <c r="C22" s="308"/>
      <c r="D22" s="236"/>
      <c r="E22" s="309">
        <v>39717</v>
      </c>
      <c r="F22" s="303">
        <f t="shared" si="0"/>
        <v>113</v>
      </c>
      <c r="G22" s="310">
        <v>39743</v>
      </c>
      <c r="H22" s="311">
        <f t="shared" si="1"/>
        <v>139</v>
      </c>
      <c r="I22" s="312">
        <v>100</v>
      </c>
      <c r="J22" s="313">
        <v>9</v>
      </c>
      <c r="K22" s="236">
        <v>4</v>
      </c>
      <c r="L22" s="236">
        <v>2</v>
      </c>
    </row>
    <row r="23" spans="1:12" ht="15">
      <c r="A23" s="90">
        <v>519</v>
      </c>
      <c r="B23" s="244" t="s">
        <v>142</v>
      </c>
      <c r="C23" s="308"/>
      <c r="D23" s="236"/>
      <c r="E23" s="309">
        <v>39706</v>
      </c>
      <c r="F23" s="303">
        <f t="shared" si="0"/>
        <v>102</v>
      </c>
      <c r="G23" s="310">
        <v>39744</v>
      </c>
      <c r="H23" s="311">
        <f t="shared" si="1"/>
        <v>140</v>
      </c>
      <c r="I23" s="312">
        <v>75</v>
      </c>
      <c r="J23" s="313">
        <v>9</v>
      </c>
      <c r="K23" s="236">
        <v>2</v>
      </c>
      <c r="L23" s="236">
        <v>2</v>
      </c>
    </row>
    <row r="24" spans="1:12" ht="15">
      <c r="A24" s="90">
        <v>520</v>
      </c>
      <c r="B24" s="244" t="s">
        <v>143</v>
      </c>
      <c r="C24" s="308"/>
      <c r="D24" s="236"/>
      <c r="E24" s="309">
        <v>39714</v>
      </c>
      <c r="F24" s="303">
        <f t="shared" si="0"/>
        <v>110</v>
      </c>
      <c r="G24" s="314"/>
      <c r="H24" s="311"/>
      <c r="I24" s="312">
        <v>107</v>
      </c>
      <c r="J24" s="313">
        <v>9</v>
      </c>
      <c r="K24" s="236">
        <v>7</v>
      </c>
      <c r="L24" s="236">
        <v>2</v>
      </c>
    </row>
    <row r="25" spans="1:12" ht="15">
      <c r="A25" s="90">
        <v>523</v>
      </c>
      <c r="B25" s="244" t="s">
        <v>144</v>
      </c>
      <c r="C25" s="308"/>
      <c r="D25" s="236"/>
      <c r="E25" s="309">
        <v>39700</v>
      </c>
      <c r="F25" s="303">
        <f t="shared" si="0"/>
        <v>96</v>
      </c>
      <c r="G25" s="310">
        <v>39736</v>
      </c>
      <c r="H25" s="311">
        <f t="shared" si="1"/>
        <v>132</v>
      </c>
      <c r="I25" s="312">
        <v>70</v>
      </c>
      <c r="J25" s="313">
        <v>9</v>
      </c>
      <c r="K25" s="236">
        <v>3</v>
      </c>
      <c r="L25" s="236">
        <v>2</v>
      </c>
    </row>
    <row r="26" spans="1:12" ht="15">
      <c r="A26" s="90">
        <v>524</v>
      </c>
      <c r="B26" s="244" t="s">
        <v>145</v>
      </c>
      <c r="C26" s="308"/>
      <c r="D26" s="236"/>
      <c r="E26" s="309">
        <v>39700</v>
      </c>
      <c r="F26" s="303">
        <f t="shared" si="0"/>
        <v>96</v>
      </c>
      <c r="G26" s="310">
        <v>39741</v>
      </c>
      <c r="H26" s="311">
        <f t="shared" si="1"/>
        <v>137</v>
      </c>
      <c r="I26" s="312">
        <v>74</v>
      </c>
      <c r="J26" s="313">
        <v>9</v>
      </c>
      <c r="K26" s="236">
        <v>1</v>
      </c>
      <c r="L26" s="236">
        <v>2</v>
      </c>
    </row>
    <row r="27" spans="1:12" ht="15">
      <c r="A27" s="90">
        <v>527</v>
      </c>
      <c r="B27" s="244" t="s">
        <v>146</v>
      </c>
      <c r="C27" s="308"/>
      <c r="D27" s="236"/>
      <c r="E27" s="309">
        <v>39680</v>
      </c>
      <c r="F27" s="303">
        <f t="shared" si="0"/>
        <v>76</v>
      </c>
      <c r="G27" s="310">
        <v>39727</v>
      </c>
      <c r="H27" s="311">
        <f t="shared" si="1"/>
        <v>123</v>
      </c>
      <c r="I27" s="312">
        <v>67</v>
      </c>
      <c r="J27" s="313">
        <v>9</v>
      </c>
      <c r="K27" s="236">
        <v>1</v>
      </c>
      <c r="L27" s="236">
        <v>2</v>
      </c>
    </row>
    <row r="28" spans="1:12" ht="15">
      <c r="A28" s="90">
        <v>534</v>
      </c>
      <c r="B28" s="244" t="s">
        <v>147</v>
      </c>
      <c r="C28" s="308"/>
      <c r="D28" s="236"/>
      <c r="E28" s="309">
        <v>39706</v>
      </c>
      <c r="F28" s="303">
        <f t="shared" si="0"/>
        <v>102</v>
      </c>
      <c r="G28" s="310">
        <v>39753</v>
      </c>
      <c r="H28" s="311">
        <f t="shared" si="1"/>
        <v>149</v>
      </c>
      <c r="I28" s="312">
        <v>85</v>
      </c>
      <c r="J28" s="313">
        <v>9</v>
      </c>
      <c r="K28" s="236">
        <v>1</v>
      </c>
      <c r="L28" s="236">
        <v>3</v>
      </c>
    </row>
    <row r="29" spans="1:12" ht="15">
      <c r="A29" s="90">
        <v>539</v>
      </c>
      <c r="B29" s="244" t="s">
        <v>148</v>
      </c>
      <c r="C29" s="308"/>
      <c r="D29" s="236"/>
      <c r="E29" s="309">
        <v>39704</v>
      </c>
      <c r="F29" s="303">
        <f t="shared" si="0"/>
        <v>100</v>
      </c>
      <c r="G29" s="310">
        <v>39750</v>
      </c>
      <c r="H29" s="311">
        <f t="shared" si="1"/>
        <v>146</v>
      </c>
      <c r="I29" s="312">
        <v>100</v>
      </c>
      <c r="J29" s="313">
        <v>9</v>
      </c>
      <c r="K29" s="236">
        <v>1</v>
      </c>
      <c r="L29" s="236">
        <v>2</v>
      </c>
    </row>
    <row r="30" spans="1:12" ht="15">
      <c r="A30" s="90">
        <v>540</v>
      </c>
      <c r="B30" s="235" t="s">
        <v>149</v>
      </c>
      <c r="C30" s="308"/>
      <c r="D30" s="236"/>
      <c r="E30" s="309">
        <v>39700</v>
      </c>
      <c r="F30" s="303">
        <f t="shared" si="0"/>
        <v>96</v>
      </c>
      <c r="G30" s="310">
        <v>39756</v>
      </c>
      <c r="H30" s="311">
        <f t="shared" si="1"/>
        <v>152</v>
      </c>
      <c r="I30" s="312">
        <v>80</v>
      </c>
      <c r="J30" s="313">
        <v>9</v>
      </c>
      <c r="K30" s="236">
        <v>2</v>
      </c>
      <c r="L30" s="236">
        <v>2</v>
      </c>
    </row>
    <row r="31" spans="1:12" ht="15">
      <c r="A31" s="90">
        <v>547</v>
      </c>
      <c r="B31" s="243" t="s">
        <v>150</v>
      </c>
      <c r="C31" s="308"/>
      <c r="D31" s="236"/>
      <c r="E31" s="309">
        <v>39730</v>
      </c>
      <c r="F31" s="303">
        <f t="shared" si="0"/>
        <v>126</v>
      </c>
      <c r="G31" s="314"/>
      <c r="H31" s="311"/>
      <c r="I31" s="312">
        <v>70</v>
      </c>
      <c r="J31" s="313">
        <v>9</v>
      </c>
      <c r="K31" s="236">
        <v>7</v>
      </c>
      <c r="L31" s="236">
        <v>2</v>
      </c>
    </row>
    <row r="32" spans="1:12" ht="15">
      <c r="A32" s="90">
        <v>553</v>
      </c>
      <c r="B32" s="243" t="s">
        <v>151</v>
      </c>
      <c r="C32" s="308"/>
      <c r="D32" s="236"/>
      <c r="E32" s="309">
        <v>39694</v>
      </c>
      <c r="F32" s="303">
        <f t="shared" si="0"/>
        <v>90</v>
      </c>
      <c r="G32" s="310">
        <v>39731</v>
      </c>
      <c r="H32" s="311">
        <f t="shared" si="1"/>
        <v>127</v>
      </c>
      <c r="I32" s="312">
        <v>80</v>
      </c>
      <c r="J32" s="313">
        <v>9</v>
      </c>
      <c r="K32" s="236">
        <v>7</v>
      </c>
      <c r="L32" s="236">
        <v>2</v>
      </c>
    </row>
    <row r="33" spans="1:12" ht="15">
      <c r="A33" s="90">
        <v>597</v>
      </c>
      <c r="B33" s="243" t="s">
        <v>152</v>
      </c>
      <c r="C33" s="308"/>
      <c r="D33" s="236"/>
      <c r="E33" s="309">
        <v>39688</v>
      </c>
      <c r="F33" s="303">
        <f t="shared" si="0"/>
        <v>84</v>
      </c>
      <c r="G33" s="310">
        <v>39725</v>
      </c>
      <c r="H33" s="311">
        <f t="shared" si="1"/>
        <v>121</v>
      </c>
      <c r="I33" s="312">
        <v>64</v>
      </c>
      <c r="J33" s="313">
        <v>9</v>
      </c>
      <c r="K33" s="236">
        <v>7</v>
      </c>
      <c r="L33" s="236">
        <v>2</v>
      </c>
    </row>
    <row r="34" spans="1:12" ht="15">
      <c r="A34" s="90">
        <v>635</v>
      </c>
      <c r="B34" s="243" t="s">
        <v>153</v>
      </c>
      <c r="C34" s="308"/>
      <c r="D34" s="236"/>
      <c r="E34" s="309">
        <v>39687</v>
      </c>
      <c r="F34" s="303">
        <f t="shared" si="0"/>
        <v>83</v>
      </c>
      <c r="G34" s="310">
        <v>39725</v>
      </c>
      <c r="H34" s="311">
        <f t="shared" si="1"/>
        <v>121</v>
      </c>
      <c r="I34" s="312">
        <v>65</v>
      </c>
      <c r="J34" s="313">
        <v>9</v>
      </c>
      <c r="K34" s="236">
        <v>1</v>
      </c>
      <c r="L34" s="236">
        <v>2</v>
      </c>
    </row>
    <row r="35" spans="1:12" ht="15">
      <c r="A35" s="90">
        <v>667</v>
      </c>
      <c r="B35" s="243" t="s">
        <v>154</v>
      </c>
      <c r="C35" s="308"/>
      <c r="D35" s="236"/>
      <c r="E35" s="309">
        <v>39695</v>
      </c>
      <c r="F35" s="303">
        <f t="shared" si="0"/>
        <v>91</v>
      </c>
      <c r="G35" s="310">
        <v>39725</v>
      </c>
      <c r="H35" s="311">
        <f t="shared" si="1"/>
        <v>121</v>
      </c>
      <c r="I35" s="312">
        <v>95</v>
      </c>
      <c r="J35" s="313">
        <v>9</v>
      </c>
      <c r="K35" s="236">
        <v>1</v>
      </c>
      <c r="L35" s="236">
        <v>2</v>
      </c>
    </row>
    <row r="36" spans="1:12" ht="15">
      <c r="A36" s="90">
        <v>669</v>
      </c>
      <c r="B36" s="243" t="s">
        <v>155</v>
      </c>
      <c r="C36" s="308"/>
      <c r="D36" s="236"/>
      <c r="E36" s="316"/>
      <c r="F36" s="303"/>
      <c r="G36" s="314"/>
      <c r="H36" s="311"/>
      <c r="I36" s="312">
        <v>70</v>
      </c>
      <c r="J36" s="313">
        <v>9</v>
      </c>
      <c r="K36" s="236">
        <v>8</v>
      </c>
      <c r="L36" s="236">
        <v>2</v>
      </c>
    </row>
    <row r="37" spans="1:12" ht="15">
      <c r="A37" s="90">
        <v>670</v>
      </c>
      <c r="B37" s="243" t="s">
        <v>156</v>
      </c>
      <c r="C37" s="308"/>
      <c r="D37" s="236"/>
      <c r="E37" s="309">
        <v>39696</v>
      </c>
      <c r="F37" s="303">
        <f t="shared" si="0"/>
        <v>92</v>
      </c>
      <c r="G37" s="310">
        <v>39745</v>
      </c>
      <c r="H37" s="311">
        <f t="shared" si="1"/>
        <v>141</v>
      </c>
      <c r="I37" s="312">
        <v>75</v>
      </c>
      <c r="J37" s="313">
        <v>9</v>
      </c>
      <c r="K37" s="236">
        <v>5</v>
      </c>
      <c r="L37" s="236">
        <v>6</v>
      </c>
    </row>
    <row r="38" spans="1:12" ht="15">
      <c r="A38" s="90">
        <v>674</v>
      </c>
      <c r="B38" s="243" t="s">
        <v>157</v>
      </c>
      <c r="C38" s="308"/>
      <c r="D38" s="236"/>
      <c r="E38" s="309">
        <v>39713</v>
      </c>
      <c r="F38" s="303">
        <f t="shared" si="0"/>
        <v>109</v>
      </c>
      <c r="G38" s="310">
        <v>39751</v>
      </c>
      <c r="H38" s="311">
        <f t="shared" si="1"/>
        <v>147</v>
      </c>
      <c r="I38" s="312">
        <v>70</v>
      </c>
      <c r="J38" s="313">
        <v>9</v>
      </c>
      <c r="K38" s="236">
        <v>7</v>
      </c>
      <c r="L38" s="236">
        <v>2</v>
      </c>
    </row>
    <row r="39" spans="1:12" ht="15">
      <c r="A39" s="90">
        <v>696</v>
      </c>
      <c r="B39" s="243" t="s">
        <v>158</v>
      </c>
      <c r="C39" s="308"/>
      <c r="D39" s="236"/>
      <c r="E39" s="309">
        <v>39705</v>
      </c>
      <c r="F39" s="303">
        <f t="shared" si="0"/>
        <v>101</v>
      </c>
      <c r="G39" s="310">
        <v>39741</v>
      </c>
      <c r="H39" s="311">
        <f t="shared" si="1"/>
        <v>137</v>
      </c>
      <c r="I39" s="312">
        <v>70</v>
      </c>
      <c r="J39" s="313">
        <v>9</v>
      </c>
      <c r="K39" s="236">
        <v>3</v>
      </c>
      <c r="L39" s="236">
        <v>2</v>
      </c>
    </row>
    <row r="40" spans="1:12" ht="15">
      <c r="A40" s="90">
        <v>826</v>
      </c>
      <c r="B40" s="243" t="s">
        <v>159</v>
      </c>
      <c r="C40" s="308"/>
      <c r="D40" s="236"/>
      <c r="E40" s="309">
        <v>39696</v>
      </c>
      <c r="F40" s="303">
        <f t="shared" si="0"/>
        <v>92</v>
      </c>
      <c r="G40" s="310">
        <v>39727</v>
      </c>
      <c r="H40" s="311">
        <f t="shared" si="1"/>
        <v>123</v>
      </c>
      <c r="I40" s="312">
        <v>71</v>
      </c>
      <c r="J40" s="313">
        <v>9</v>
      </c>
      <c r="K40" s="236">
        <v>1</v>
      </c>
      <c r="L40" s="236">
        <v>2</v>
      </c>
    </row>
    <row r="41" spans="1:12" ht="15">
      <c r="A41" s="90">
        <v>1262</v>
      </c>
      <c r="B41" s="244" t="s">
        <v>160</v>
      </c>
      <c r="C41" s="308"/>
      <c r="D41" s="236"/>
      <c r="E41" s="309">
        <v>39695</v>
      </c>
      <c r="F41" s="303">
        <f t="shared" si="0"/>
        <v>91</v>
      </c>
      <c r="G41" s="310">
        <v>39727</v>
      </c>
      <c r="H41" s="311">
        <f t="shared" si="1"/>
        <v>123</v>
      </c>
      <c r="I41" s="312">
        <v>95</v>
      </c>
      <c r="J41" s="313">
        <v>9</v>
      </c>
      <c r="K41" s="236">
        <v>1</v>
      </c>
      <c r="L41" s="236">
        <v>3</v>
      </c>
    </row>
    <row r="42" spans="1:12" ht="15">
      <c r="A42" s="90">
        <v>1306</v>
      </c>
      <c r="B42" s="244" t="s">
        <v>161</v>
      </c>
      <c r="C42" s="308"/>
      <c r="D42" s="236"/>
      <c r="E42" s="316"/>
      <c r="F42" s="303"/>
      <c r="G42" s="314"/>
      <c r="H42" s="311"/>
      <c r="I42" s="312">
        <v>44</v>
      </c>
      <c r="J42" s="313">
        <v>9</v>
      </c>
      <c r="K42" s="236">
        <v>1</v>
      </c>
      <c r="L42" s="236">
        <v>2</v>
      </c>
    </row>
    <row r="43" spans="1:12" ht="15">
      <c r="A43" s="90">
        <v>74</v>
      </c>
      <c r="B43" s="244" t="s">
        <v>162</v>
      </c>
      <c r="C43" s="308"/>
      <c r="D43" s="236"/>
      <c r="E43" s="309">
        <v>39689</v>
      </c>
      <c r="F43" s="303">
        <f t="shared" si="0"/>
        <v>85</v>
      </c>
      <c r="G43" s="310">
        <v>39725</v>
      </c>
      <c r="H43" s="311">
        <f t="shared" si="1"/>
        <v>121</v>
      </c>
      <c r="I43" s="312">
        <v>65</v>
      </c>
      <c r="J43" s="313">
        <v>9</v>
      </c>
      <c r="K43" s="236">
        <v>7</v>
      </c>
      <c r="L43" s="236">
        <v>2</v>
      </c>
    </row>
    <row r="44" spans="1:12" ht="15">
      <c r="A44" s="90">
        <v>1395</v>
      </c>
      <c r="B44" s="244" t="s">
        <v>163</v>
      </c>
      <c r="C44" s="308"/>
      <c r="D44" s="236"/>
      <c r="E44" s="309">
        <v>39704</v>
      </c>
      <c r="F44" s="303">
        <f t="shared" si="0"/>
        <v>100</v>
      </c>
      <c r="G44" s="310">
        <v>39754</v>
      </c>
      <c r="H44" s="311">
        <f t="shared" si="1"/>
        <v>150</v>
      </c>
      <c r="I44" s="312">
        <v>88</v>
      </c>
      <c r="J44" s="313">
        <v>9</v>
      </c>
      <c r="K44" s="236">
        <v>1</v>
      </c>
      <c r="L44" s="236">
        <v>2</v>
      </c>
    </row>
    <row r="45" spans="1:12" ht="15">
      <c r="A45" s="90">
        <v>1473</v>
      </c>
      <c r="B45" s="244" t="s">
        <v>164</v>
      </c>
      <c r="C45" s="308"/>
      <c r="D45" s="236"/>
      <c r="E45" s="309">
        <v>39688</v>
      </c>
      <c r="F45" s="303">
        <f t="shared" si="0"/>
        <v>84</v>
      </c>
      <c r="G45" s="310">
        <v>39725</v>
      </c>
      <c r="H45" s="311">
        <f t="shared" si="1"/>
        <v>121</v>
      </c>
      <c r="I45" s="312">
        <v>68</v>
      </c>
      <c r="J45" s="313">
        <v>9</v>
      </c>
      <c r="K45" s="236">
        <v>8</v>
      </c>
      <c r="L45" s="236">
        <v>2</v>
      </c>
    </row>
    <row r="46" spans="1:12" ht="15">
      <c r="A46" s="90">
        <v>1488</v>
      </c>
      <c r="B46" s="244" t="s">
        <v>165</v>
      </c>
      <c r="C46" s="308"/>
      <c r="D46" s="236"/>
      <c r="E46" s="309">
        <v>39696</v>
      </c>
      <c r="F46" s="303">
        <f t="shared" si="0"/>
        <v>92</v>
      </c>
      <c r="G46" s="310">
        <v>39727</v>
      </c>
      <c r="H46" s="311">
        <f t="shared" si="1"/>
        <v>123</v>
      </c>
      <c r="I46" s="312">
        <v>75</v>
      </c>
      <c r="J46" s="313">
        <v>9</v>
      </c>
      <c r="K46" s="236">
        <v>1</v>
      </c>
      <c r="L46" s="236">
        <v>3</v>
      </c>
    </row>
    <row r="47" spans="1:12" ht="15">
      <c r="A47" s="90">
        <v>1489</v>
      </c>
      <c r="B47" s="244" t="s">
        <v>166</v>
      </c>
      <c r="C47" s="308"/>
      <c r="D47" s="236"/>
      <c r="E47" s="309">
        <v>39695</v>
      </c>
      <c r="F47" s="303">
        <f t="shared" si="0"/>
        <v>91</v>
      </c>
      <c r="G47" s="310">
        <v>39727</v>
      </c>
      <c r="H47" s="311">
        <f t="shared" si="1"/>
        <v>123</v>
      </c>
      <c r="I47" s="312">
        <v>44</v>
      </c>
      <c r="J47" s="313">
        <v>9</v>
      </c>
      <c r="K47" s="236">
        <v>6</v>
      </c>
      <c r="L47" s="236">
        <v>3</v>
      </c>
    </row>
    <row r="48" spans="1:12" ht="15">
      <c r="A48" s="90">
        <v>1506</v>
      </c>
      <c r="B48" s="244" t="s">
        <v>167</v>
      </c>
      <c r="C48" s="308"/>
      <c r="D48" s="236"/>
      <c r="E48" s="309">
        <v>39695</v>
      </c>
      <c r="F48" s="303">
        <f t="shared" si="0"/>
        <v>91</v>
      </c>
      <c r="G48" s="310">
        <v>39725</v>
      </c>
      <c r="H48" s="311">
        <f t="shared" si="1"/>
        <v>121</v>
      </c>
      <c r="I48" s="312">
        <v>46</v>
      </c>
      <c r="J48" s="313">
        <v>9</v>
      </c>
      <c r="K48" s="236">
        <v>6</v>
      </c>
      <c r="L48" s="236">
        <v>2</v>
      </c>
    </row>
    <row r="49" spans="1:12" ht="15">
      <c r="A49" s="90">
        <v>1508</v>
      </c>
      <c r="B49" s="244" t="s">
        <v>168</v>
      </c>
      <c r="C49" s="308"/>
      <c r="D49" s="236"/>
      <c r="E49" s="309">
        <v>39706</v>
      </c>
      <c r="F49" s="303">
        <f t="shared" si="0"/>
        <v>102</v>
      </c>
      <c r="G49" s="310">
        <v>39754</v>
      </c>
      <c r="H49" s="311">
        <f t="shared" si="1"/>
        <v>150</v>
      </c>
      <c r="I49" s="312">
        <v>65</v>
      </c>
      <c r="J49" s="313">
        <v>9</v>
      </c>
      <c r="K49" s="236">
        <v>2</v>
      </c>
      <c r="L49" s="236">
        <v>2</v>
      </c>
    </row>
    <row r="50" spans="1:12" ht="15">
      <c r="A50" s="90">
        <v>1511</v>
      </c>
      <c r="B50" s="244" t="s">
        <v>169</v>
      </c>
      <c r="C50" s="308"/>
      <c r="D50" s="236"/>
      <c r="E50" s="309">
        <v>39690</v>
      </c>
      <c r="F50" s="303">
        <f t="shared" si="0"/>
        <v>86</v>
      </c>
      <c r="G50" s="310">
        <v>39725</v>
      </c>
      <c r="H50" s="311">
        <f t="shared" si="1"/>
        <v>121</v>
      </c>
      <c r="I50" s="312">
        <v>77</v>
      </c>
      <c r="J50" s="313">
        <v>9</v>
      </c>
      <c r="K50" s="236">
        <v>1</v>
      </c>
      <c r="L50" s="236">
        <v>2</v>
      </c>
    </row>
    <row r="51" spans="1:12" ht="15">
      <c r="A51" s="90">
        <v>1514</v>
      </c>
      <c r="B51" s="246" t="s">
        <v>170</v>
      </c>
      <c r="C51" s="308"/>
      <c r="D51" s="236"/>
      <c r="E51" s="309">
        <v>39687</v>
      </c>
      <c r="F51" s="303">
        <f t="shared" si="0"/>
        <v>83</v>
      </c>
      <c r="G51" s="310">
        <v>39723</v>
      </c>
      <c r="H51" s="311">
        <f t="shared" si="1"/>
        <v>119</v>
      </c>
      <c r="I51" s="312">
        <v>70</v>
      </c>
      <c r="J51" s="313">
        <v>9</v>
      </c>
      <c r="K51" s="236">
        <v>1</v>
      </c>
      <c r="L51" s="236">
        <v>2</v>
      </c>
    </row>
    <row r="52" spans="1:12" ht="15">
      <c r="A52" s="90">
        <v>1516</v>
      </c>
      <c r="B52" s="244" t="s">
        <v>171</v>
      </c>
      <c r="C52" s="308"/>
      <c r="D52" s="236"/>
      <c r="E52" s="309">
        <v>39696</v>
      </c>
      <c r="F52" s="303">
        <f t="shared" si="0"/>
        <v>92</v>
      </c>
      <c r="G52" s="310">
        <v>39733</v>
      </c>
      <c r="H52" s="311">
        <f t="shared" si="1"/>
        <v>129</v>
      </c>
      <c r="I52" s="312">
        <v>100</v>
      </c>
      <c r="J52" s="313">
        <v>9</v>
      </c>
      <c r="K52" s="236">
        <v>4</v>
      </c>
      <c r="L52" s="236">
        <v>2</v>
      </c>
    </row>
    <row r="53" spans="1:12" ht="15">
      <c r="A53" s="90">
        <v>1530</v>
      </c>
      <c r="B53" s="244" t="s">
        <v>172</v>
      </c>
      <c r="C53" s="308"/>
      <c r="D53" s="236"/>
      <c r="E53" s="309">
        <v>39695</v>
      </c>
      <c r="F53" s="303">
        <f t="shared" si="0"/>
        <v>91</v>
      </c>
      <c r="G53" s="310">
        <v>39751</v>
      </c>
      <c r="H53" s="311">
        <f t="shared" si="1"/>
        <v>147</v>
      </c>
      <c r="I53" s="312">
        <v>90</v>
      </c>
      <c r="J53" s="313">
        <v>9</v>
      </c>
      <c r="K53" s="236">
        <v>2</v>
      </c>
      <c r="L53" s="236">
        <v>2</v>
      </c>
    </row>
    <row r="54" spans="1:12" ht="15">
      <c r="A54" s="194">
        <v>1634</v>
      </c>
      <c r="B54" s="244" t="s">
        <v>173</v>
      </c>
      <c r="C54" s="308"/>
      <c r="D54" s="236"/>
      <c r="E54" s="309">
        <v>39700</v>
      </c>
      <c r="F54" s="303">
        <f t="shared" si="0"/>
        <v>96</v>
      </c>
      <c r="G54" s="310">
        <v>39725</v>
      </c>
      <c r="H54" s="311">
        <f t="shared" si="1"/>
        <v>121</v>
      </c>
      <c r="I54" s="312">
        <v>60</v>
      </c>
      <c r="J54" s="313"/>
      <c r="K54" s="236"/>
      <c r="L54" s="236"/>
    </row>
    <row r="55" spans="1:12" ht="15">
      <c r="A55" s="194">
        <v>1635</v>
      </c>
      <c r="B55" s="244" t="s">
        <v>174</v>
      </c>
      <c r="C55" s="308"/>
      <c r="D55" s="236"/>
      <c r="E55" s="309">
        <v>39690</v>
      </c>
      <c r="F55" s="303">
        <f t="shared" si="0"/>
        <v>86</v>
      </c>
      <c r="G55" s="310">
        <v>39725</v>
      </c>
      <c r="H55" s="311">
        <f t="shared" si="1"/>
        <v>121</v>
      </c>
      <c r="I55" s="312">
        <v>97</v>
      </c>
      <c r="J55" s="313">
        <v>7</v>
      </c>
      <c r="K55" s="236">
        <v>1</v>
      </c>
      <c r="L55" s="236">
        <v>2</v>
      </c>
    </row>
    <row r="56" spans="1:12" ht="15">
      <c r="A56" s="194">
        <v>1636</v>
      </c>
      <c r="B56" s="244" t="s">
        <v>175</v>
      </c>
      <c r="C56" s="308"/>
      <c r="D56" s="236"/>
      <c r="E56" s="309">
        <v>39699</v>
      </c>
      <c r="F56" s="303">
        <f t="shared" si="0"/>
        <v>95</v>
      </c>
      <c r="G56" s="310">
        <v>39761</v>
      </c>
      <c r="H56" s="311">
        <f t="shared" si="1"/>
        <v>157</v>
      </c>
      <c r="I56" s="312">
        <v>45</v>
      </c>
      <c r="J56" s="313">
        <v>9</v>
      </c>
      <c r="K56" s="236">
        <v>8</v>
      </c>
      <c r="L56" s="236">
        <v>1</v>
      </c>
    </row>
    <row r="57" spans="1:12" ht="15">
      <c r="A57" s="194">
        <v>1638</v>
      </c>
      <c r="B57" s="244" t="s">
        <v>176</v>
      </c>
      <c r="C57" s="308"/>
      <c r="D57" s="236"/>
      <c r="E57" s="309">
        <v>39699</v>
      </c>
      <c r="F57" s="303">
        <f t="shared" si="0"/>
        <v>95</v>
      </c>
      <c r="G57" s="310">
        <v>39742</v>
      </c>
      <c r="H57" s="311">
        <f t="shared" si="1"/>
        <v>138</v>
      </c>
      <c r="I57" s="312">
        <v>68</v>
      </c>
      <c r="J57" s="313">
        <v>9</v>
      </c>
      <c r="K57" s="236">
        <v>6</v>
      </c>
      <c r="L57" s="236">
        <v>4</v>
      </c>
    </row>
    <row r="58" spans="1:12" ht="15">
      <c r="A58" s="194">
        <v>1639</v>
      </c>
      <c r="B58" s="244" t="s">
        <v>177</v>
      </c>
      <c r="C58" s="308"/>
      <c r="D58" s="236"/>
      <c r="E58" s="309">
        <v>39711</v>
      </c>
      <c r="F58" s="303">
        <f t="shared" si="0"/>
        <v>107</v>
      </c>
      <c r="G58" s="310">
        <v>39759</v>
      </c>
      <c r="H58" s="311">
        <f t="shared" si="1"/>
        <v>155</v>
      </c>
      <c r="I58" s="312">
        <v>60</v>
      </c>
      <c r="J58" s="313">
        <v>9</v>
      </c>
      <c r="K58" s="236">
        <v>6</v>
      </c>
      <c r="L58" s="236">
        <v>2</v>
      </c>
    </row>
    <row r="59" spans="1:12" ht="15">
      <c r="A59" s="194">
        <v>1640</v>
      </c>
      <c r="B59" s="244" t="s">
        <v>178</v>
      </c>
      <c r="C59" s="308"/>
      <c r="D59" s="236"/>
      <c r="E59" s="309">
        <v>39698</v>
      </c>
      <c r="F59" s="303">
        <f t="shared" si="0"/>
        <v>94</v>
      </c>
      <c r="G59" s="310">
        <v>39754</v>
      </c>
      <c r="H59" s="311">
        <f t="shared" si="1"/>
        <v>150</v>
      </c>
      <c r="I59" s="312">
        <v>80</v>
      </c>
      <c r="J59" s="313">
        <v>9</v>
      </c>
      <c r="K59" s="236">
        <v>6</v>
      </c>
      <c r="L59" s="236">
        <v>5</v>
      </c>
    </row>
    <row r="60" spans="1:12" ht="15">
      <c r="A60" s="194">
        <v>1642</v>
      </c>
      <c r="B60" s="244" t="s">
        <v>179</v>
      </c>
      <c r="C60" s="308"/>
      <c r="D60" s="236"/>
      <c r="E60" s="309">
        <v>39695</v>
      </c>
      <c r="F60" s="303">
        <f t="shared" si="0"/>
        <v>91</v>
      </c>
      <c r="G60" s="310">
        <v>39754</v>
      </c>
      <c r="H60" s="311">
        <f t="shared" si="1"/>
        <v>150</v>
      </c>
      <c r="I60" s="312">
        <v>70</v>
      </c>
      <c r="J60" s="313">
        <v>9</v>
      </c>
      <c r="K60" s="236">
        <v>6</v>
      </c>
      <c r="L60" s="236">
        <v>6</v>
      </c>
    </row>
    <row r="61" spans="1:12" ht="15">
      <c r="A61" s="194">
        <v>1643</v>
      </c>
      <c r="B61" s="246" t="s">
        <v>180</v>
      </c>
      <c r="C61" s="308"/>
      <c r="D61" s="236"/>
      <c r="E61" s="309">
        <v>39694</v>
      </c>
      <c r="F61" s="303">
        <f t="shared" si="0"/>
        <v>90</v>
      </c>
      <c r="G61" s="310">
        <v>39754</v>
      </c>
      <c r="H61" s="311">
        <f t="shared" si="1"/>
        <v>150</v>
      </c>
      <c r="I61" s="312">
        <v>88</v>
      </c>
      <c r="J61" s="313">
        <v>9</v>
      </c>
      <c r="K61" s="236">
        <v>2</v>
      </c>
      <c r="L61" s="236">
        <v>2</v>
      </c>
    </row>
    <row r="62" spans="1:12" ht="15">
      <c r="A62" s="194">
        <v>1644</v>
      </c>
      <c r="B62" s="244" t="s">
        <v>181</v>
      </c>
      <c r="C62" s="308"/>
      <c r="D62" s="236"/>
      <c r="E62" s="309">
        <v>39706</v>
      </c>
      <c r="F62" s="303">
        <f t="shared" si="0"/>
        <v>102</v>
      </c>
      <c r="G62" s="310">
        <v>39757</v>
      </c>
      <c r="H62" s="311">
        <f t="shared" si="1"/>
        <v>153</v>
      </c>
      <c r="I62" s="312">
        <v>60</v>
      </c>
      <c r="J62" s="313">
        <v>9</v>
      </c>
      <c r="K62" s="236">
        <v>6</v>
      </c>
      <c r="L62" s="236">
        <v>3</v>
      </c>
    </row>
    <row r="63" spans="1:12" ht="15">
      <c r="A63" s="194">
        <v>1645</v>
      </c>
      <c r="B63" s="244" t="s">
        <v>182</v>
      </c>
      <c r="C63" s="308"/>
      <c r="D63" s="236"/>
      <c r="E63" s="309">
        <v>39694</v>
      </c>
      <c r="F63" s="303">
        <f t="shared" si="0"/>
        <v>90</v>
      </c>
      <c r="G63" s="310">
        <v>39748</v>
      </c>
      <c r="H63" s="311">
        <f t="shared" si="1"/>
        <v>144</v>
      </c>
      <c r="I63" s="312">
        <v>70</v>
      </c>
      <c r="J63" s="313">
        <v>9</v>
      </c>
      <c r="K63" s="236">
        <v>1</v>
      </c>
      <c r="L63" s="236">
        <v>4</v>
      </c>
    </row>
    <row r="64" spans="1:12" ht="15">
      <c r="A64" s="194">
        <v>1646</v>
      </c>
      <c r="B64" s="244" t="s">
        <v>183</v>
      </c>
      <c r="C64" s="308"/>
      <c r="D64" s="236"/>
      <c r="E64" s="309">
        <v>39706</v>
      </c>
      <c r="F64" s="303">
        <f t="shared" si="0"/>
        <v>102</v>
      </c>
      <c r="G64" s="310">
        <v>39755</v>
      </c>
      <c r="H64" s="311">
        <f t="shared" si="1"/>
        <v>151</v>
      </c>
      <c r="I64" s="312">
        <v>60</v>
      </c>
      <c r="J64" s="313">
        <v>9</v>
      </c>
      <c r="K64" s="236">
        <v>4</v>
      </c>
      <c r="L64" s="236">
        <v>6</v>
      </c>
    </row>
    <row r="65" spans="1:12" ht="15">
      <c r="A65" s="194">
        <v>1647</v>
      </c>
      <c r="B65" s="244" t="s">
        <v>184</v>
      </c>
      <c r="C65" s="308"/>
      <c r="D65" s="236"/>
      <c r="E65" s="309">
        <v>39707</v>
      </c>
      <c r="F65" s="303">
        <f t="shared" si="0"/>
        <v>103</v>
      </c>
      <c r="G65" s="310">
        <v>39757</v>
      </c>
      <c r="H65" s="311">
        <f t="shared" si="1"/>
        <v>153</v>
      </c>
      <c r="I65" s="312">
        <v>55</v>
      </c>
      <c r="J65" s="313">
        <v>9</v>
      </c>
      <c r="K65" s="236">
        <v>4</v>
      </c>
      <c r="L65" s="236">
        <v>3</v>
      </c>
    </row>
    <row r="66" spans="1:12" ht="15">
      <c r="A66" s="194">
        <v>1648</v>
      </c>
      <c r="B66" s="244" t="s">
        <v>185</v>
      </c>
      <c r="C66" s="308"/>
      <c r="D66" s="236"/>
      <c r="E66" s="309">
        <v>39704</v>
      </c>
      <c r="F66" s="303">
        <f t="shared" si="0"/>
        <v>100</v>
      </c>
      <c r="G66" s="310">
        <v>39748</v>
      </c>
      <c r="H66" s="311">
        <f t="shared" si="1"/>
        <v>144</v>
      </c>
      <c r="I66" s="312">
        <v>50</v>
      </c>
      <c r="J66" s="313">
        <v>9</v>
      </c>
      <c r="K66" s="236">
        <v>4</v>
      </c>
      <c r="L66" s="236">
        <v>2</v>
      </c>
    </row>
    <row r="67" spans="1:12" ht="15">
      <c r="A67" s="194">
        <v>1649</v>
      </c>
      <c r="B67" s="244" t="s">
        <v>186</v>
      </c>
      <c r="C67" s="308"/>
      <c r="D67" s="236"/>
      <c r="E67" s="309">
        <v>39697</v>
      </c>
      <c r="F67" s="303">
        <f t="shared" si="0"/>
        <v>93</v>
      </c>
      <c r="G67" s="310">
        <v>39748</v>
      </c>
      <c r="H67" s="311">
        <f t="shared" si="1"/>
        <v>144</v>
      </c>
      <c r="I67" s="312">
        <v>51</v>
      </c>
      <c r="J67" s="313">
        <v>9</v>
      </c>
      <c r="K67" s="236">
        <v>4</v>
      </c>
      <c r="L67" s="236">
        <v>2</v>
      </c>
    </row>
    <row r="68" spans="1:12" ht="15">
      <c r="A68" s="194">
        <v>1650</v>
      </c>
      <c r="B68" s="244" t="s">
        <v>188</v>
      </c>
      <c r="C68" s="308"/>
      <c r="D68" s="236"/>
      <c r="E68" s="309">
        <v>39697</v>
      </c>
      <c r="F68" s="303">
        <f aca="true" t="shared" si="2" ref="F68:F122">E68-$F$1</f>
        <v>93</v>
      </c>
      <c r="G68" s="310">
        <v>39748</v>
      </c>
      <c r="H68" s="311">
        <f aca="true" t="shared" si="3" ref="H68:H122">G68-$F$1</f>
        <v>144</v>
      </c>
      <c r="I68" s="312">
        <v>77</v>
      </c>
      <c r="J68" s="313">
        <v>9</v>
      </c>
      <c r="K68" s="236">
        <v>4</v>
      </c>
      <c r="L68" s="236">
        <v>2</v>
      </c>
    </row>
    <row r="69" spans="1:12" ht="15">
      <c r="A69" s="194">
        <v>1651</v>
      </c>
      <c r="B69" s="246" t="s">
        <v>189</v>
      </c>
      <c r="C69" s="308"/>
      <c r="D69" s="236"/>
      <c r="E69" s="309">
        <v>39694</v>
      </c>
      <c r="F69" s="303">
        <f t="shared" si="2"/>
        <v>90</v>
      </c>
      <c r="G69" s="310">
        <v>39727</v>
      </c>
      <c r="H69" s="311">
        <f t="shared" si="3"/>
        <v>123</v>
      </c>
      <c r="I69" s="312">
        <v>65</v>
      </c>
      <c r="J69" s="313">
        <v>9</v>
      </c>
      <c r="K69" s="236">
        <v>4</v>
      </c>
      <c r="L69" s="236">
        <v>3</v>
      </c>
    </row>
    <row r="70" spans="1:12" ht="15">
      <c r="A70" s="194">
        <v>1652</v>
      </c>
      <c r="B70" s="246" t="s">
        <v>190</v>
      </c>
      <c r="C70" s="308"/>
      <c r="D70" s="236"/>
      <c r="E70" s="309">
        <v>39690</v>
      </c>
      <c r="F70" s="303">
        <f t="shared" si="2"/>
        <v>86</v>
      </c>
      <c r="G70" s="310">
        <v>39725</v>
      </c>
      <c r="H70" s="311">
        <f t="shared" si="3"/>
        <v>121</v>
      </c>
      <c r="I70" s="312">
        <v>55</v>
      </c>
      <c r="J70" s="313">
        <v>9</v>
      </c>
      <c r="K70" s="236">
        <v>4</v>
      </c>
      <c r="L70" s="236">
        <v>2</v>
      </c>
    </row>
    <row r="71" spans="1:12" ht="15">
      <c r="A71" s="194">
        <v>1653</v>
      </c>
      <c r="B71" s="244" t="s">
        <v>191</v>
      </c>
      <c r="C71" s="308"/>
      <c r="D71" s="236"/>
      <c r="E71" s="309">
        <v>39698</v>
      </c>
      <c r="F71" s="303">
        <f t="shared" si="2"/>
        <v>94</v>
      </c>
      <c r="G71" s="310">
        <v>39746</v>
      </c>
      <c r="H71" s="311">
        <f t="shared" si="3"/>
        <v>142</v>
      </c>
      <c r="I71" s="312">
        <v>60</v>
      </c>
      <c r="J71" s="313">
        <v>9</v>
      </c>
      <c r="K71" s="236">
        <v>4</v>
      </c>
      <c r="L71" s="236">
        <v>2</v>
      </c>
    </row>
    <row r="72" spans="1:12" ht="15">
      <c r="A72" s="194">
        <v>1654</v>
      </c>
      <c r="B72" s="244" t="s">
        <v>192</v>
      </c>
      <c r="C72" s="308"/>
      <c r="D72" s="236"/>
      <c r="E72" s="309">
        <v>39695</v>
      </c>
      <c r="F72" s="303">
        <f t="shared" si="2"/>
        <v>91</v>
      </c>
      <c r="G72" s="310">
        <v>39746</v>
      </c>
      <c r="H72" s="311">
        <f t="shared" si="3"/>
        <v>142</v>
      </c>
      <c r="I72" s="312">
        <v>50</v>
      </c>
      <c r="J72" s="313">
        <v>9</v>
      </c>
      <c r="K72" s="236">
        <v>4</v>
      </c>
      <c r="L72" s="236">
        <v>4</v>
      </c>
    </row>
    <row r="73" spans="1:12" ht="15">
      <c r="A73" s="194">
        <v>1655</v>
      </c>
      <c r="B73" s="244" t="s">
        <v>193</v>
      </c>
      <c r="C73" s="308"/>
      <c r="D73" s="236"/>
      <c r="E73" s="309">
        <v>39695</v>
      </c>
      <c r="F73" s="303">
        <f t="shared" si="2"/>
        <v>91</v>
      </c>
      <c r="G73" s="310">
        <v>39753</v>
      </c>
      <c r="H73" s="311">
        <f t="shared" si="3"/>
        <v>149</v>
      </c>
      <c r="I73" s="312">
        <v>60</v>
      </c>
      <c r="J73" s="313">
        <v>9</v>
      </c>
      <c r="K73" s="236">
        <v>4</v>
      </c>
      <c r="L73" s="236">
        <v>6</v>
      </c>
    </row>
    <row r="74" spans="1:12" ht="15">
      <c r="A74" s="194">
        <v>1656</v>
      </c>
      <c r="B74" s="244" t="s">
        <v>194</v>
      </c>
      <c r="C74" s="308"/>
      <c r="D74" s="236"/>
      <c r="E74" s="309">
        <v>39698</v>
      </c>
      <c r="F74" s="303">
        <f t="shared" si="2"/>
        <v>94</v>
      </c>
      <c r="G74" s="310">
        <v>39747</v>
      </c>
      <c r="H74" s="311">
        <f t="shared" si="3"/>
        <v>143</v>
      </c>
      <c r="I74" s="312">
        <v>77</v>
      </c>
      <c r="J74" s="313">
        <v>9</v>
      </c>
      <c r="K74" s="236">
        <v>1</v>
      </c>
      <c r="L74" s="236">
        <v>2</v>
      </c>
    </row>
    <row r="75" spans="1:12" ht="15">
      <c r="A75" s="196">
        <v>675</v>
      </c>
      <c r="B75" s="244" t="s">
        <v>195</v>
      </c>
      <c r="C75" s="308"/>
      <c r="D75" s="236"/>
      <c r="E75" s="309">
        <v>39694</v>
      </c>
      <c r="F75" s="303">
        <f t="shared" si="2"/>
        <v>90</v>
      </c>
      <c r="G75" s="310">
        <v>39745</v>
      </c>
      <c r="H75" s="311">
        <f t="shared" si="3"/>
        <v>141</v>
      </c>
      <c r="I75" s="312">
        <v>105</v>
      </c>
      <c r="J75" s="313">
        <v>9</v>
      </c>
      <c r="K75" s="236">
        <v>4</v>
      </c>
      <c r="L75" s="236">
        <v>4</v>
      </c>
    </row>
    <row r="76" spans="1:12" ht="15">
      <c r="A76" s="194">
        <v>1658</v>
      </c>
      <c r="B76" s="244" t="s">
        <v>196</v>
      </c>
      <c r="C76" s="308"/>
      <c r="D76" s="236"/>
      <c r="E76" s="309">
        <v>39694</v>
      </c>
      <c r="F76" s="303">
        <f t="shared" si="2"/>
        <v>90</v>
      </c>
      <c r="G76" s="310">
        <v>39731</v>
      </c>
      <c r="H76" s="311">
        <f t="shared" si="3"/>
        <v>127</v>
      </c>
      <c r="I76" s="312">
        <v>60</v>
      </c>
      <c r="J76" s="313">
        <v>9</v>
      </c>
      <c r="K76" s="236">
        <v>4</v>
      </c>
      <c r="L76" s="236">
        <v>2</v>
      </c>
    </row>
    <row r="77" spans="1:12" ht="15">
      <c r="A77" s="194">
        <v>1659</v>
      </c>
      <c r="B77" s="244" t="s">
        <v>197</v>
      </c>
      <c r="C77" s="308"/>
      <c r="D77" s="236"/>
      <c r="E77" s="309">
        <v>39691</v>
      </c>
      <c r="F77" s="303">
        <f t="shared" si="2"/>
        <v>87</v>
      </c>
      <c r="G77" s="310">
        <v>39727</v>
      </c>
      <c r="H77" s="311">
        <f t="shared" si="3"/>
        <v>123</v>
      </c>
      <c r="I77" s="312">
        <v>60</v>
      </c>
      <c r="J77" s="313">
        <v>9</v>
      </c>
      <c r="K77" s="236">
        <v>4</v>
      </c>
      <c r="L77" s="236">
        <v>2</v>
      </c>
    </row>
    <row r="78" spans="1:12" ht="15">
      <c r="A78" s="194">
        <v>1660</v>
      </c>
      <c r="B78" s="244" t="s">
        <v>198</v>
      </c>
      <c r="C78" s="308"/>
      <c r="D78" s="236"/>
      <c r="E78" s="309">
        <v>39704</v>
      </c>
      <c r="F78" s="303">
        <f t="shared" si="2"/>
        <v>100</v>
      </c>
      <c r="G78" s="310">
        <v>39754</v>
      </c>
      <c r="H78" s="311">
        <f t="shared" si="3"/>
        <v>150</v>
      </c>
      <c r="I78" s="312">
        <v>50</v>
      </c>
      <c r="J78" s="313">
        <v>9</v>
      </c>
      <c r="K78" s="236">
        <v>4</v>
      </c>
      <c r="L78" s="236">
        <v>2</v>
      </c>
    </row>
    <row r="79" spans="1:12" ht="15">
      <c r="A79" s="194">
        <v>1661</v>
      </c>
      <c r="B79" s="244" t="s">
        <v>199</v>
      </c>
      <c r="C79" s="308"/>
      <c r="D79" s="236"/>
      <c r="E79" s="309">
        <v>39700</v>
      </c>
      <c r="F79" s="303">
        <f t="shared" si="2"/>
        <v>96</v>
      </c>
      <c r="G79" s="310">
        <v>39748</v>
      </c>
      <c r="H79" s="311">
        <f t="shared" si="3"/>
        <v>144</v>
      </c>
      <c r="I79" s="312">
        <v>70</v>
      </c>
      <c r="J79" s="313">
        <v>9</v>
      </c>
      <c r="K79" s="236">
        <v>3</v>
      </c>
      <c r="L79" s="236">
        <v>2</v>
      </c>
    </row>
    <row r="80" spans="1:12" ht="15">
      <c r="A80" s="194">
        <v>1662</v>
      </c>
      <c r="B80" s="244" t="s">
        <v>200</v>
      </c>
      <c r="C80" s="308"/>
      <c r="D80" s="236"/>
      <c r="E80" s="309">
        <v>39691</v>
      </c>
      <c r="F80" s="303">
        <f t="shared" si="2"/>
        <v>87</v>
      </c>
      <c r="G80" s="310">
        <v>39724</v>
      </c>
      <c r="H80" s="311">
        <f t="shared" si="3"/>
        <v>120</v>
      </c>
      <c r="I80" s="312">
        <v>66</v>
      </c>
      <c r="J80" s="313">
        <v>9</v>
      </c>
      <c r="K80" s="236">
        <v>6</v>
      </c>
      <c r="L80" s="236">
        <v>2</v>
      </c>
    </row>
    <row r="81" spans="1:12" ht="15">
      <c r="A81" s="194">
        <v>1663</v>
      </c>
      <c r="B81" s="244" t="s">
        <v>201</v>
      </c>
      <c r="C81" s="308"/>
      <c r="D81" s="236"/>
      <c r="E81" s="309">
        <v>39696</v>
      </c>
      <c r="F81" s="303">
        <f t="shared" si="2"/>
        <v>92</v>
      </c>
      <c r="G81" s="310">
        <v>39731</v>
      </c>
      <c r="H81" s="311">
        <f t="shared" si="3"/>
        <v>127</v>
      </c>
      <c r="I81" s="312">
        <v>61</v>
      </c>
      <c r="J81" s="313">
        <v>9</v>
      </c>
      <c r="K81" s="236">
        <v>6</v>
      </c>
      <c r="L81" s="236">
        <v>4</v>
      </c>
    </row>
    <row r="82" spans="1:12" ht="15">
      <c r="A82" s="194">
        <v>1665</v>
      </c>
      <c r="B82" s="244" t="s">
        <v>202</v>
      </c>
      <c r="C82" s="308"/>
      <c r="D82" s="236"/>
      <c r="E82" s="309">
        <v>39693</v>
      </c>
      <c r="F82" s="303">
        <f t="shared" si="2"/>
        <v>89</v>
      </c>
      <c r="G82" s="310">
        <v>39745</v>
      </c>
      <c r="H82" s="311">
        <f t="shared" si="3"/>
        <v>141</v>
      </c>
      <c r="I82" s="312">
        <v>73</v>
      </c>
      <c r="J82" s="313">
        <v>9</v>
      </c>
      <c r="K82" s="236">
        <v>2</v>
      </c>
      <c r="L82" s="236">
        <v>6</v>
      </c>
    </row>
    <row r="83" spans="1:12" ht="15">
      <c r="A83" s="194">
        <v>1666</v>
      </c>
      <c r="B83" s="244" t="s">
        <v>203</v>
      </c>
      <c r="C83" s="308"/>
      <c r="D83" s="236"/>
      <c r="E83" s="309">
        <v>39694</v>
      </c>
      <c r="F83" s="303">
        <f t="shared" si="2"/>
        <v>90</v>
      </c>
      <c r="G83" s="310">
        <v>39727</v>
      </c>
      <c r="H83" s="311">
        <f t="shared" si="3"/>
        <v>123</v>
      </c>
      <c r="I83" s="312">
        <v>71</v>
      </c>
      <c r="J83" s="313">
        <v>9</v>
      </c>
      <c r="K83" s="236">
        <v>2</v>
      </c>
      <c r="L83" s="236">
        <v>4</v>
      </c>
    </row>
    <row r="84" spans="1:12" ht="15">
      <c r="A84" s="194">
        <v>1667</v>
      </c>
      <c r="B84" s="244" t="s">
        <v>204</v>
      </c>
      <c r="C84" s="308"/>
      <c r="D84" s="236"/>
      <c r="E84" s="309">
        <v>39687</v>
      </c>
      <c r="F84" s="303">
        <f t="shared" si="2"/>
        <v>83</v>
      </c>
      <c r="G84" s="310">
        <v>39725</v>
      </c>
      <c r="H84" s="311">
        <f t="shared" si="3"/>
        <v>121</v>
      </c>
      <c r="I84" s="312">
        <v>80</v>
      </c>
      <c r="J84" s="313">
        <v>9</v>
      </c>
      <c r="K84" s="236">
        <v>2</v>
      </c>
      <c r="L84" s="236">
        <v>2</v>
      </c>
    </row>
    <row r="85" spans="1:12" ht="15">
      <c r="A85" s="194">
        <v>1668</v>
      </c>
      <c r="B85" s="244" t="s">
        <v>205</v>
      </c>
      <c r="C85" s="308"/>
      <c r="D85" s="236"/>
      <c r="E85" s="309">
        <v>39700</v>
      </c>
      <c r="F85" s="303">
        <f t="shared" si="2"/>
        <v>96</v>
      </c>
      <c r="G85" s="314"/>
      <c r="H85" s="311"/>
      <c r="I85" s="312">
        <v>79</v>
      </c>
      <c r="J85" s="313">
        <v>9</v>
      </c>
      <c r="K85" s="236">
        <v>3</v>
      </c>
      <c r="L85" s="236">
        <v>2</v>
      </c>
    </row>
    <row r="86" spans="1:12" ht="15">
      <c r="A86" s="194">
        <v>1669</v>
      </c>
      <c r="B86" s="244" t="s">
        <v>206</v>
      </c>
      <c r="C86" s="308"/>
      <c r="D86" s="236"/>
      <c r="E86" s="309">
        <v>39695</v>
      </c>
      <c r="F86" s="303">
        <f t="shared" si="2"/>
        <v>91</v>
      </c>
      <c r="G86" s="310">
        <v>39731</v>
      </c>
      <c r="H86" s="311">
        <f t="shared" si="3"/>
        <v>127</v>
      </c>
      <c r="I86" s="312">
        <v>60</v>
      </c>
      <c r="J86" s="313">
        <v>9</v>
      </c>
      <c r="K86" s="236">
        <v>4</v>
      </c>
      <c r="L86" s="236">
        <v>2</v>
      </c>
    </row>
    <row r="87" spans="1:12" ht="15">
      <c r="A87" s="194">
        <v>1670</v>
      </c>
      <c r="B87" s="244" t="s">
        <v>207</v>
      </c>
      <c r="C87" s="308"/>
      <c r="D87" s="236"/>
      <c r="E87" s="309">
        <v>39695</v>
      </c>
      <c r="F87" s="303">
        <f t="shared" si="2"/>
        <v>91</v>
      </c>
      <c r="G87" s="310">
        <v>39745</v>
      </c>
      <c r="H87" s="311">
        <f t="shared" si="3"/>
        <v>141</v>
      </c>
      <c r="I87" s="312">
        <v>65</v>
      </c>
      <c r="J87" s="313">
        <v>9</v>
      </c>
      <c r="K87" s="236">
        <v>1</v>
      </c>
      <c r="L87" s="236">
        <v>3</v>
      </c>
    </row>
    <row r="88" spans="1:12" ht="15">
      <c r="A88" s="194">
        <v>1671</v>
      </c>
      <c r="B88" s="244" t="s">
        <v>208</v>
      </c>
      <c r="C88" s="308"/>
      <c r="D88" s="236"/>
      <c r="E88" s="309">
        <v>39690</v>
      </c>
      <c r="F88" s="303">
        <f t="shared" si="2"/>
        <v>86</v>
      </c>
      <c r="G88" s="310">
        <v>39725</v>
      </c>
      <c r="H88" s="311">
        <f t="shared" si="3"/>
        <v>121</v>
      </c>
      <c r="I88" s="312">
        <v>70</v>
      </c>
      <c r="J88" s="313">
        <v>9</v>
      </c>
      <c r="K88" s="236">
        <v>1</v>
      </c>
      <c r="L88" s="236">
        <v>6</v>
      </c>
    </row>
    <row r="89" spans="1:12" ht="15">
      <c r="A89" s="194">
        <v>1672</v>
      </c>
      <c r="B89" s="244" t="s">
        <v>209</v>
      </c>
      <c r="C89" s="308"/>
      <c r="D89" s="236"/>
      <c r="E89" s="309">
        <v>39701</v>
      </c>
      <c r="F89" s="303">
        <f t="shared" si="2"/>
        <v>97</v>
      </c>
      <c r="G89" s="310">
        <v>39761</v>
      </c>
      <c r="H89" s="311">
        <f t="shared" si="3"/>
        <v>157</v>
      </c>
      <c r="I89" s="312">
        <v>92</v>
      </c>
      <c r="J89" s="313">
        <v>9</v>
      </c>
      <c r="K89" s="236">
        <v>3</v>
      </c>
      <c r="L89" s="236">
        <v>2</v>
      </c>
    </row>
    <row r="90" spans="1:12" ht="15">
      <c r="A90" s="194">
        <v>1673</v>
      </c>
      <c r="B90" s="244" t="s">
        <v>210</v>
      </c>
      <c r="C90" s="308"/>
      <c r="D90" s="236"/>
      <c r="E90" s="309">
        <v>39696</v>
      </c>
      <c r="F90" s="303">
        <f t="shared" si="2"/>
        <v>92</v>
      </c>
      <c r="G90" s="310">
        <v>39754</v>
      </c>
      <c r="H90" s="311">
        <f t="shared" si="3"/>
        <v>150</v>
      </c>
      <c r="I90" s="312">
        <v>50</v>
      </c>
      <c r="J90" s="313">
        <v>9</v>
      </c>
      <c r="K90" s="236">
        <v>6</v>
      </c>
      <c r="L90" s="236">
        <v>4</v>
      </c>
    </row>
    <row r="91" spans="1:12" ht="15">
      <c r="A91" s="194">
        <v>1674</v>
      </c>
      <c r="B91" s="244" t="s">
        <v>211</v>
      </c>
      <c r="C91" s="308"/>
      <c r="D91" s="236"/>
      <c r="E91" s="309">
        <v>39693</v>
      </c>
      <c r="F91" s="303">
        <f t="shared" si="2"/>
        <v>89</v>
      </c>
      <c r="G91" s="310">
        <v>39725</v>
      </c>
      <c r="H91" s="311">
        <f t="shared" si="3"/>
        <v>121</v>
      </c>
      <c r="I91" s="312">
        <v>78</v>
      </c>
      <c r="J91" s="313">
        <v>9</v>
      </c>
      <c r="K91" s="236">
        <v>1</v>
      </c>
      <c r="L91" s="236">
        <v>2</v>
      </c>
    </row>
    <row r="92" spans="1:12" ht="15">
      <c r="A92" s="194">
        <v>1676</v>
      </c>
      <c r="B92" s="244" t="s">
        <v>212</v>
      </c>
      <c r="C92" s="308"/>
      <c r="D92" s="236"/>
      <c r="E92" s="309">
        <v>39693</v>
      </c>
      <c r="F92" s="303">
        <f t="shared" si="2"/>
        <v>89</v>
      </c>
      <c r="G92" s="310">
        <v>39725</v>
      </c>
      <c r="H92" s="311">
        <f t="shared" si="3"/>
        <v>121</v>
      </c>
      <c r="I92" s="312">
        <v>80</v>
      </c>
      <c r="J92" s="313">
        <v>9</v>
      </c>
      <c r="K92" s="236">
        <v>2</v>
      </c>
      <c r="L92" s="236">
        <v>2</v>
      </c>
    </row>
    <row r="93" spans="1:12" ht="15">
      <c r="A93" s="194">
        <v>1678</v>
      </c>
      <c r="B93" s="246" t="s">
        <v>213</v>
      </c>
      <c r="C93" s="308"/>
      <c r="D93" s="236"/>
      <c r="E93" s="309">
        <v>39699</v>
      </c>
      <c r="F93" s="303">
        <f t="shared" si="2"/>
        <v>95</v>
      </c>
      <c r="G93" s="310">
        <v>39747</v>
      </c>
      <c r="H93" s="311">
        <f t="shared" si="3"/>
        <v>143</v>
      </c>
      <c r="I93" s="312">
        <v>50</v>
      </c>
      <c r="J93" s="313">
        <v>9</v>
      </c>
      <c r="K93" s="236">
        <v>6</v>
      </c>
      <c r="L93" s="236">
        <v>2</v>
      </c>
    </row>
    <row r="94" spans="1:12" ht="15">
      <c r="A94" s="194">
        <v>1679</v>
      </c>
      <c r="B94" s="244" t="s">
        <v>214</v>
      </c>
      <c r="C94" s="308"/>
      <c r="D94" s="236"/>
      <c r="E94" s="309">
        <v>39695</v>
      </c>
      <c r="F94" s="303">
        <f t="shared" si="2"/>
        <v>91</v>
      </c>
      <c r="G94" s="310">
        <v>39731</v>
      </c>
      <c r="H94" s="311">
        <f t="shared" si="3"/>
        <v>127</v>
      </c>
      <c r="I94" s="312">
        <v>80</v>
      </c>
      <c r="J94" s="313">
        <v>9</v>
      </c>
      <c r="K94" s="236">
        <v>1</v>
      </c>
      <c r="L94" s="236">
        <v>2</v>
      </c>
    </row>
    <row r="95" spans="1:12" ht="15">
      <c r="A95" s="194">
        <v>1680</v>
      </c>
      <c r="B95" s="244" t="s">
        <v>215</v>
      </c>
      <c r="C95" s="308"/>
      <c r="D95" s="236"/>
      <c r="E95" s="309">
        <v>39698</v>
      </c>
      <c r="F95" s="303">
        <f t="shared" si="2"/>
        <v>94</v>
      </c>
      <c r="G95" s="310">
        <v>39737</v>
      </c>
      <c r="H95" s="311">
        <f t="shared" si="3"/>
        <v>133</v>
      </c>
      <c r="I95" s="312">
        <v>61</v>
      </c>
      <c r="J95" s="313">
        <v>9</v>
      </c>
      <c r="K95" s="236">
        <v>2</v>
      </c>
      <c r="L95" s="236">
        <v>2</v>
      </c>
    </row>
    <row r="96" spans="1:12" ht="15">
      <c r="A96" s="194">
        <v>1681</v>
      </c>
      <c r="B96" s="244" t="s">
        <v>216</v>
      </c>
      <c r="C96" s="308"/>
      <c r="D96" s="236"/>
      <c r="E96" s="309">
        <v>39711</v>
      </c>
      <c r="F96" s="303">
        <f t="shared" si="2"/>
        <v>107</v>
      </c>
      <c r="G96" s="310">
        <v>39759</v>
      </c>
      <c r="H96" s="311">
        <f t="shared" si="3"/>
        <v>155</v>
      </c>
      <c r="I96" s="312">
        <v>55</v>
      </c>
      <c r="J96" s="313">
        <v>9</v>
      </c>
      <c r="K96" s="236">
        <v>6</v>
      </c>
      <c r="L96" s="236">
        <v>4</v>
      </c>
    </row>
    <row r="97" spans="1:12" ht="15">
      <c r="A97" s="194">
        <v>1682</v>
      </c>
      <c r="B97" s="244" t="s">
        <v>217</v>
      </c>
      <c r="C97" s="308"/>
      <c r="D97" s="236"/>
      <c r="E97" s="309">
        <v>39694</v>
      </c>
      <c r="F97" s="303">
        <f t="shared" si="2"/>
        <v>90</v>
      </c>
      <c r="G97" s="310">
        <v>39727</v>
      </c>
      <c r="H97" s="311">
        <f t="shared" si="3"/>
        <v>123</v>
      </c>
      <c r="I97" s="312">
        <v>85</v>
      </c>
      <c r="J97" s="313">
        <v>8</v>
      </c>
      <c r="K97" s="236">
        <v>1</v>
      </c>
      <c r="L97" s="236">
        <v>2</v>
      </c>
    </row>
    <row r="98" spans="1:12" ht="15">
      <c r="A98" s="194">
        <v>1684</v>
      </c>
      <c r="B98" s="244" t="s">
        <v>218</v>
      </c>
      <c r="C98" s="308"/>
      <c r="D98" s="236"/>
      <c r="E98" s="309">
        <v>39691</v>
      </c>
      <c r="F98" s="303">
        <f t="shared" si="2"/>
        <v>87</v>
      </c>
      <c r="G98" s="310">
        <v>39725</v>
      </c>
      <c r="H98" s="311">
        <f t="shared" si="3"/>
        <v>121</v>
      </c>
      <c r="I98" s="312">
        <v>72</v>
      </c>
      <c r="J98" s="313">
        <v>9</v>
      </c>
      <c r="K98" s="236">
        <v>1</v>
      </c>
      <c r="L98" s="236">
        <v>2</v>
      </c>
    </row>
    <row r="99" spans="1:12" ht="15">
      <c r="A99" s="194">
        <v>1685</v>
      </c>
      <c r="B99" s="244" t="s">
        <v>219</v>
      </c>
      <c r="C99" s="308"/>
      <c r="D99" s="236"/>
      <c r="E99" s="309">
        <v>39689</v>
      </c>
      <c r="F99" s="303">
        <f t="shared" si="2"/>
        <v>85</v>
      </c>
      <c r="G99" s="310">
        <v>39725</v>
      </c>
      <c r="H99" s="311">
        <f t="shared" si="3"/>
        <v>121</v>
      </c>
      <c r="I99" s="312">
        <v>63</v>
      </c>
      <c r="J99" s="313">
        <v>9</v>
      </c>
      <c r="K99" s="236">
        <v>6</v>
      </c>
      <c r="L99" s="236">
        <v>2</v>
      </c>
    </row>
    <row r="100" spans="1:12" ht="15">
      <c r="A100" s="194">
        <v>1686</v>
      </c>
      <c r="B100" s="244" t="s">
        <v>220</v>
      </c>
      <c r="C100" s="308"/>
      <c r="D100" s="236"/>
      <c r="E100" s="309">
        <v>39697</v>
      </c>
      <c r="F100" s="303">
        <f t="shared" si="2"/>
        <v>93</v>
      </c>
      <c r="G100" s="310">
        <v>39754</v>
      </c>
      <c r="H100" s="311">
        <f t="shared" si="3"/>
        <v>150</v>
      </c>
      <c r="I100" s="312">
        <v>80</v>
      </c>
      <c r="J100" s="313">
        <v>9</v>
      </c>
      <c r="K100" s="236">
        <v>1</v>
      </c>
      <c r="L100" s="236">
        <v>2</v>
      </c>
    </row>
    <row r="101" spans="1:12" ht="15">
      <c r="A101" s="194">
        <v>1687</v>
      </c>
      <c r="B101" s="244" t="s">
        <v>221</v>
      </c>
      <c r="C101" s="308"/>
      <c r="D101" s="236"/>
      <c r="E101" s="309">
        <v>39705</v>
      </c>
      <c r="F101" s="303">
        <f t="shared" si="2"/>
        <v>101</v>
      </c>
      <c r="G101" s="310">
        <v>39760</v>
      </c>
      <c r="H101" s="311">
        <f t="shared" si="3"/>
        <v>156</v>
      </c>
      <c r="I101" s="312">
        <v>74</v>
      </c>
      <c r="J101" s="313">
        <v>9</v>
      </c>
      <c r="K101" s="236">
        <v>1</v>
      </c>
      <c r="L101" s="236">
        <v>4</v>
      </c>
    </row>
    <row r="102" spans="1:12" ht="15">
      <c r="A102" s="194">
        <v>1688</v>
      </c>
      <c r="B102" s="244" t="s">
        <v>222</v>
      </c>
      <c r="C102" s="308"/>
      <c r="D102" s="236"/>
      <c r="E102" s="309">
        <v>39701</v>
      </c>
      <c r="F102" s="303">
        <f t="shared" si="2"/>
        <v>97</v>
      </c>
      <c r="G102" s="310">
        <v>39760</v>
      </c>
      <c r="H102" s="311">
        <f t="shared" si="3"/>
        <v>156</v>
      </c>
      <c r="I102" s="312">
        <v>63</v>
      </c>
      <c r="J102" s="313">
        <v>9</v>
      </c>
      <c r="K102" s="236">
        <v>1</v>
      </c>
      <c r="L102" s="236">
        <v>3</v>
      </c>
    </row>
    <row r="103" spans="1:12" ht="15">
      <c r="A103" s="197">
        <v>1689</v>
      </c>
      <c r="B103" s="243" t="s">
        <v>223</v>
      </c>
      <c r="C103" s="308"/>
      <c r="D103" s="236"/>
      <c r="E103" s="309">
        <v>39691</v>
      </c>
      <c r="F103" s="303">
        <f t="shared" si="2"/>
        <v>87</v>
      </c>
      <c r="G103" s="310">
        <v>39725</v>
      </c>
      <c r="H103" s="311">
        <f t="shared" si="3"/>
        <v>121</v>
      </c>
      <c r="I103" s="312">
        <v>65</v>
      </c>
      <c r="J103" s="313">
        <v>9</v>
      </c>
      <c r="K103" s="236">
        <v>4</v>
      </c>
      <c r="L103" s="236">
        <v>4</v>
      </c>
    </row>
    <row r="104" spans="1:12" ht="15">
      <c r="A104" s="197">
        <v>1690</v>
      </c>
      <c r="B104" s="243" t="s">
        <v>224</v>
      </c>
      <c r="C104" s="308"/>
      <c r="D104" s="236"/>
      <c r="E104" s="309">
        <v>39689</v>
      </c>
      <c r="F104" s="303">
        <f t="shared" si="2"/>
        <v>85</v>
      </c>
      <c r="G104" s="310">
        <v>39731</v>
      </c>
      <c r="H104" s="311">
        <f t="shared" si="3"/>
        <v>127</v>
      </c>
      <c r="I104" s="312">
        <v>57</v>
      </c>
      <c r="J104" s="313">
        <v>9</v>
      </c>
      <c r="K104" s="236">
        <v>1</v>
      </c>
      <c r="L104" s="236">
        <v>2</v>
      </c>
    </row>
    <row r="105" spans="1:12" ht="15">
      <c r="A105" s="198">
        <v>1691</v>
      </c>
      <c r="B105" s="243" t="s">
        <v>225</v>
      </c>
      <c r="C105" s="308"/>
      <c r="D105" s="247"/>
      <c r="E105" s="309">
        <v>39689</v>
      </c>
      <c r="F105" s="303">
        <f t="shared" si="2"/>
        <v>85</v>
      </c>
      <c r="G105" s="310">
        <v>39737</v>
      </c>
      <c r="H105" s="311">
        <f t="shared" si="3"/>
        <v>133</v>
      </c>
      <c r="I105" s="312">
        <v>60</v>
      </c>
      <c r="J105" s="313">
        <v>9</v>
      </c>
      <c r="K105" s="236">
        <v>4</v>
      </c>
      <c r="L105" s="236">
        <v>2</v>
      </c>
    </row>
    <row r="106" spans="1:12" ht="15">
      <c r="A106" s="198">
        <v>1692</v>
      </c>
      <c r="B106" s="243" t="s">
        <v>226</v>
      </c>
      <c r="C106" s="308"/>
      <c r="D106" s="236"/>
      <c r="E106" s="309">
        <v>39691</v>
      </c>
      <c r="F106" s="303">
        <f t="shared" si="2"/>
        <v>87</v>
      </c>
      <c r="G106" s="310">
        <v>39737</v>
      </c>
      <c r="H106" s="311">
        <f t="shared" si="3"/>
        <v>133</v>
      </c>
      <c r="I106" s="312">
        <v>60</v>
      </c>
      <c r="J106" s="313">
        <v>9</v>
      </c>
      <c r="K106" s="236">
        <v>4</v>
      </c>
      <c r="L106" s="236">
        <v>6</v>
      </c>
    </row>
    <row r="107" spans="1:12" ht="15">
      <c r="A107" s="198">
        <v>1693</v>
      </c>
      <c r="B107" s="243" t="s">
        <v>227</v>
      </c>
      <c r="C107" s="308"/>
      <c r="D107" s="236"/>
      <c r="E107" s="309">
        <v>39689</v>
      </c>
      <c r="F107" s="303">
        <f t="shared" si="2"/>
        <v>85</v>
      </c>
      <c r="G107" s="310">
        <v>39745</v>
      </c>
      <c r="H107" s="311">
        <f t="shared" si="3"/>
        <v>141</v>
      </c>
      <c r="I107" s="312">
        <v>56</v>
      </c>
      <c r="J107" s="313">
        <v>9</v>
      </c>
      <c r="K107" s="236">
        <v>4</v>
      </c>
      <c r="L107" s="236">
        <v>3</v>
      </c>
    </row>
    <row r="108" spans="1:12" ht="15">
      <c r="A108" s="198">
        <v>1694</v>
      </c>
      <c r="B108" s="243" t="s">
        <v>228</v>
      </c>
      <c r="C108" s="308"/>
      <c r="D108" s="236"/>
      <c r="E108" s="309">
        <v>39693</v>
      </c>
      <c r="F108" s="303">
        <f t="shared" si="2"/>
        <v>89</v>
      </c>
      <c r="G108" s="310">
        <v>39745</v>
      </c>
      <c r="H108" s="311">
        <f t="shared" si="3"/>
        <v>141</v>
      </c>
      <c r="I108" s="312">
        <v>70</v>
      </c>
      <c r="J108" s="313">
        <v>9</v>
      </c>
      <c r="K108" s="236">
        <v>4</v>
      </c>
      <c r="L108" s="236">
        <v>6</v>
      </c>
    </row>
    <row r="109" spans="1:12" ht="15">
      <c r="A109" s="198">
        <v>1695</v>
      </c>
      <c r="B109" s="243" t="s">
        <v>229</v>
      </c>
      <c r="C109" s="308"/>
      <c r="D109" s="236"/>
      <c r="E109" s="309">
        <v>39687</v>
      </c>
      <c r="F109" s="303">
        <f t="shared" si="2"/>
        <v>83</v>
      </c>
      <c r="G109" s="310">
        <v>39743</v>
      </c>
      <c r="H109" s="311">
        <f t="shared" si="3"/>
        <v>139</v>
      </c>
      <c r="I109" s="312">
        <v>74</v>
      </c>
      <c r="J109" s="313">
        <v>9</v>
      </c>
      <c r="K109" s="236">
        <v>4</v>
      </c>
      <c r="L109" s="236">
        <v>4</v>
      </c>
    </row>
    <row r="110" spans="1:12" ht="15">
      <c r="A110" s="198">
        <v>1696</v>
      </c>
      <c r="B110" s="243" t="s">
        <v>230</v>
      </c>
      <c r="C110" s="308"/>
      <c r="D110" s="236"/>
      <c r="E110" s="309">
        <v>39694</v>
      </c>
      <c r="F110" s="303">
        <f t="shared" si="2"/>
        <v>90</v>
      </c>
      <c r="G110" s="310">
        <v>39743</v>
      </c>
      <c r="H110" s="311">
        <f t="shared" si="3"/>
        <v>139</v>
      </c>
      <c r="I110" s="312">
        <v>60</v>
      </c>
      <c r="J110" s="313">
        <v>9</v>
      </c>
      <c r="K110" s="236">
        <v>4</v>
      </c>
      <c r="L110" s="236">
        <v>2</v>
      </c>
    </row>
    <row r="111" spans="1:12" ht="15">
      <c r="A111" s="198">
        <v>1697</v>
      </c>
      <c r="B111" s="243" t="s">
        <v>231</v>
      </c>
      <c r="C111" s="308"/>
      <c r="D111" s="236"/>
      <c r="E111" s="309">
        <v>39693</v>
      </c>
      <c r="F111" s="303">
        <f t="shared" si="2"/>
        <v>89</v>
      </c>
      <c r="G111" s="310">
        <v>39747</v>
      </c>
      <c r="H111" s="311">
        <f t="shared" si="3"/>
        <v>143</v>
      </c>
      <c r="I111" s="312">
        <v>67</v>
      </c>
      <c r="J111" s="313">
        <v>9</v>
      </c>
      <c r="K111" s="236">
        <v>4</v>
      </c>
      <c r="L111" s="236">
        <v>2</v>
      </c>
    </row>
    <row r="112" spans="1:12" ht="15">
      <c r="A112" s="198">
        <v>1698</v>
      </c>
      <c r="B112" s="243" t="s">
        <v>232</v>
      </c>
      <c r="C112" s="308"/>
      <c r="D112" s="236"/>
      <c r="E112" s="309">
        <v>39691</v>
      </c>
      <c r="F112" s="303">
        <f t="shared" si="2"/>
        <v>87</v>
      </c>
      <c r="G112" s="310">
        <v>39747</v>
      </c>
      <c r="H112" s="311">
        <f t="shared" si="3"/>
        <v>143</v>
      </c>
      <c r="I112" s="312">
        <v>80</v>
      </c>
      <c r="J112" s="313">
        <v>9</v>
      </c>
      <c r="K112" s="236">
        <v>4</v>
      </c>
      <c r="L112" s="236">
        <v>2</v>
      </c>
    </row>
    <row r="113" spans="1:12" ht="15">
      <c r="A113" s="197">
        <v>1699</v>
      </c>
      <c r="B113" s="243" t="s">
        <v>233</v>
      </c>
      <c r="C113" s="308"/>
      <c r="D113" s="236"/>
      <c r="E113" s="309">
        <v>39698</v>
      </c>
      <c r="F113" s="303">
        <f t="shared" si="2"/>
        <v>94</v>
      </c>
      <c r="G113" s="310">
        <v>39748</v>
      </c>
      <c r="H113" s="311">
        <f t="shared" si="3"/>
        <v>144</v>
      </c>
      <c r="I113" s="312">
        <v>76</v>
      </c>
      <c r="J113" s="313">
        <v>9</v>
      </c>
      <c r="K113" s="236">
        <v>2</v>
      </c>
      <c r="L113" s="236">
        <v>2</v>
      </c>
    </row>
    <row r="114" spans="1:12" ht="15">
      <c r="A114" s="197">
        <v>1700</v>
      </c>
      <c r="B114" s="243" t="s">
        <v>235</v>
      </c>
      <c r="C114" s="308"/>
      <c r="D114" s="236"/>
      <c r="E114" s="309">
        <v>39696</v>
      </c>
      <c r="F114" s="303">
        <f t="shared" si="2"/>
        <v>92</v>
      </c>
      <c r="G114" s="310">
        <v>39746</v>
      </c>
      <c r="H114" s="311">
        <f t="shared" si="3"/>
        <v>142</v>
      </c>
      <c r="I114" s="312">
        <v>60</v>
      </c>
      <c r="J114" s="313">
        <v>9</v>
      </c>
      <c r="K114" s="236">
        <v>4</v>
      </c>
      <c r="L114" s="236">
        <v>5</v>
      </c>
    </row>
    <row r="115" spans="1:12" ht="15">
      <c r="A115" s="197">
        <v>1701</v>
      </c>
      <c r="B115" s="243" t="s">
        <v>236</v>
      </c>
      <c r="C115" s="308"/>
      <c r="D115" s="236"/>
      <c r="E115" s="309">
        <v>39696</v>
      </c>
      <c r="F115" s="303">
        <f t="shared" si="2"/>
        <v>92</v>
      </c>
      <c r="G115" s="310">
        <v>39756</v>
      </c>
      <c r="H115" s="311">
        <f t="shared" si="3"/>
        <v>152</v>
      </c>
      <c r="I115" s="312">
        <v>95</v>
      </c>
      <c r="J115" s="313">
        <v>9</v>
      </c>
      <c r="K115" s="236">
        <v>1</v>
      </c>
      <c r="L115" s="236">
        <v>4</v>
      </c>
    </row>
    <row r="116" spans="1:12" ht="15">
      <c r="A116" s="197">
        <v>1702</v>
      </c>
      <c r="B116" s="243" t="s">
        <v>237</v>
      </c>
      <c r="C116" s="308"/>
      <c r="D116" s="236"/>
      <c r="E116" s="309">
        <v>39702</v>
      </c>
      <c r="F116" s="303">
        <f t="shared" si="2"/>
        <v>98</v>
      </c>
      <c r="G116" s="310">
        <v>39760</v>
      </c>
      <c r="H116" s="311">
        <f t="shared" si="3"/>
        <v>156</v>
      </c>
      <c r="I116" s="312">
        <v>90</v>
      </c>
      <c r="J116" s="313">
        <v>9</v>
      </c>
      <c r="K116" s="236">
        <v>4</v>
      </c>
      <c r="L116" s="236">
        <v>4</v>
      </c>
    </row>
    <row r="117" spans="1:12" ht="15">
      <c r="A117" s="197">
        <v>1703</v>
      </c>
      <c r="B117" s="243" t="s">
        <v>238</v>
      </c>
      <c r="C117" s="308"/>
      <c r="D117" s="247"/>
      <c r="E117" s="309">
        <v>39712</v>
      </c>
      <c r="F117" s="303">
        <f t="shared" si="2"/>
        <v>108</v>
      </c>
      <c r="G117" s="310">
        <v>39759</v>
      </c>
      <c r="H117" s="311">
        <f t="shared" si="3"/>
        <v>155</v>
      </c>
      <c r="I117" s="312">
        <v>68</v>
      </c>
      <c r="J117" s="313">
        <v>9</v>
      </c>
      <c r="K117" s="236">
        <v>4</v>
      </c>
      <c r="L117" s="236">
        <v>5</v>
      </c>
    </row>
    <row r="118" spans="1:12" ht="15">
      <c r="A118" s="198">
        <v>1704</v>
      </c>
      <c r="B118" s="243" t="s">
        <v>239</v>
      </c>
      <c r="C118" s="308"/>
      <c r="D118" s="236"/>
      <c r="E118" s="309">
        <v>39712</v>
      </c>
      <c r="F118" s="303">
        <f t="shared" si="2"/>
        <v>108</v>
      </c>
      <c r="G118" s="310">
        <v>39760</v>
      </c>
      <c r="H118" s="311">
        <f t="shared" si="3"/>
        <v>156</v>
      </c>
      <c r="I118" s="312">
        <v>66</v>
      </c>
      <c r="J118" s="313">
        <v>9</v>
      </c>
      <c r="K118" s="236">
        <v>2</v>
      </c>
      <c r="L118" s="236">
        <v>2</v>
      </c>
    </row>
    <row r="119" spans="1:12" ht="15">
      <c r="A119" s="198">
        <v>1705</v>
      </c>
      <c r="B119" s="243" t="s">
        <v>240</v>
      </c>
      <c r="C119" s="308"/>
      <c r="D119" s="236"/>
      <c r="E119" s="309">
        <v>39706</v>
      </c>
      <c r="F119" s="303">
        <f t="shared" si="2"/>
        <v>102</v>
      </c>
      <c r="G119" s="310">
        <v>39761</v>
      </c>
      <c r="H119" s="311">
        <f t="shared" si="3"/>
        <v>157</v>
      </c>
      <c r="I119" s="312">
        <v>60</v>
      </c>
      <c r="J119" s="313">
        <v>9</v>
      </c>
      <c r="K119" s="236">
        <v>4</v>
      </c>
      <c r="L119" s="236">
        <v>6</v>
      </c>
    </row>
    <row r="120" spans="1:12" ht="15">
      <c r="A120" s="198">
        <v>1706</v>
      </c>
      <c r="B120" s="243" t="s">
        <v>241</v>
      </c>
      <c r="C120" s="308"/>
      <c r="D120" s="236"/>
      <c r="E120" s="309">
        <v>39708</v>
      </c>
      <c r="F120" s="303">
        <f t="shared" si="2"/>
        <v>104</v>
      </c>
      <c r="G120" s="314"/>
      <c r="H120" s="311"/>
      <c r="I120" s="312">
        <v>50</v>
      </c>
      <c r="J120" s="313">
        <v>9</v>
      </c>
      <c r="K120" s="236">
        <v>7</v>
      </c>
      <c r="L120" s="236">
        <v>2</v>
      </c>
    </row>
    <row r="121" spans="1:12" ht="15">
      <c r="A121" s="198">
        <v>1707</v>
      </c>
      <c r="B121" s="243" t="s">
        <v>242</v>
      </c>
      <c r="C121" s="308"/>
      <c r="D121" s="236"/>
      <c r="E121" s="309">
        <v>39699</v>
      </c>
      <c r="F121" s="303">
        <f t="shared" si="2"/>
        <v>95</v>
      </c>
      <c r="G121" s="310">
        <v>39755</v>
      </c>
      <c r="H121" s="311">
        <f t="shared" si="3"/>
        <v>151</v>
      </c>
      <c r="I121" s="312">
        <v>93</v>
      </c>
      <c r="J121" s="313">
        <v>9</v>
      </c>
      <c r="K121" s="236">
        <v>1</v>
      </c>
      <c r="L121" s="236">
        <v>2</v>
      </c>
    </row>
    <row r="122" spans="1:12" ht="15">
      <c r="A122" s="198">
        <v>1708</v>
      </c>
      <c r="B122" s="243" t="s">
        <v>243</v>
      </c>
      <c r="C122" s="308"/>
      <c r="D122" s="236"/>
      <c r="E122" s="309">
        <v>39701</v>
      </c>
      <c r="F122" s="303">
        <f t="shared" si="2"/>
        <v>97</v>
      </c>
      <c r="G122" s="310">
        <v>39754</v>
      </c>
      <c r="H122" s="311">
        <f t="shared" si="3"/>
        <v>150</v>
      </c>
      <c r="I122" s="312">
        <v>88</v>
      </c>
      <c r="J122" s="313">
        <v>9</v>
      </c>
      <c r="K122" s="236">
        <v>2</v>
      </c>
      <c r="L122" s="236">
        <v>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C61">
      <selection activeCell="G8" sqref="G8"/>
    </sheetView>
  </sheetViews>
  <sheetFormatPr defaultColWidth="10.28125" defaultRowHeight="12.75"/>
  <cols>
    <col min="1" max="1" width="7.140625" style="27" bestFit="1" customWidth="1"/>
    <col min="2" max="2" width="31.28125" style="217" bestFit="1" customWidth="1"/>
    <col min="3" max="4" width="10.7109375" style="217" bestFit="1" customWidth="1"/>
    <col min="5" max="5" width="14.421875" style="217" bestFit="1" customWidth="1"/>
    <col min="6" max="6" width="12.421875" style="217" bestFit="1" customWidth="1"/>
    <col min="7" max="11" width="12.421875" style="217" customWidth="1"/>
    <col min="12" max="12" width="14.140625" style="217" bestFit="1" customWidth="1"/>
    <col min="13" max="13" width="14.7109375" style="217" bestFit="1" customWidth="1"/>
    <col min="14" max="16384" width="10.28125" style="217" customWidth="1"/>
  </cols>
  <sheetData>
    <row r="1" ht="15.75">
      <c r="B1" s="214"/>
    </row>
    <row r="2" spans="1:13" ht="16.5" thickBot="1">
      <c r="A2" s="52"/>
      <c r="B2" s="219" t="s">
        <v>112</v>
      </c>
      <c r="C2" s="317" t="s">
        <v>73</v>
      </c>
      <c r="D2" s="318" t="s">
        <v>74</v>
      </c>
      <c r="E2" s="317" t="s">
        <v>75</v>
      </c>
      <c r="F2" s="317" t="s">
        <v>76</v>
      </c>
      <c r="G2" s="445" t="s">
        <v>77</v>
      </c>
      <c r="H2" s="446"/>
      <c r="I2" s="446"/>
      <c r="J2" s="446"/>
      <c r="K2" s="446"/>
      <c r="L2" s="447"/>
      <c r="M2" s="317" t="s">
        <v>78</v>
      </c>
    </row>
    <row r="3" spans="1:13" ht="15">
      <c r="A3" s="90">
        <v>85</v>
      </c>
      <c r="B3" s="223" t="s">
        <v>122</v>
      </c>
      <c r="C3" s="269">
        <v>5</v>
      </c>
      <c r="D3" s="269"/>
      <c r="E3" s="269">
        <v>2</v>
      </c>
      <c r="F3" s="269">
        <v>3</v>
      </c>
      <c r="G3" s="319">
        <v>15.5</v>
      </c>
      <c r="H3" s="320">
        <v>18.1</v>
      </c>
      <c r="I3" s="320">
        <v>14.6</v>
      </c>
      <c r="J3" s="320">
        <v>17.2</v>
      </c>
      <c r="K3" s="320">
        <v>17.9</v>
      </c>
      <c r="L3" s="321">
        <v>18.6</v>
      </c>
      <c r="M3" s="269">
        <v>5</v>
      </c>
    </row>
    <row r="4" spans="1:13" ht="15">
      <c r="A4" s="90">
        <v>97</v>
      </c>
      <c r="B4" s="235" t="s">
        <v>123</v>
      </c>
      <c r="C4" s="278">
        <v>2</v>
      </c>
      <c r="D4" s="278"/>
      <c r="E4" s="278">
        <v>2</v>
      </c>
      <c r="F4" s="278">
        <v>2</v>
      </c>
      <c r="G4" s="322">
        <v>14.8</v>
      </c>
      <c r="H4" s="323">
        <v>14.8</v>
      </c>
      <c r="I4" s="323">
        <v>13.1</v>
      </c>
      <c r="J4" s="323">
        <v>14.3</v>
      </c>
      <c r="K4" s="323">
        <v>11.8</v>
      </c>
      <c r="L4" s="243">
        <v>15.1</v>
      </c>
      <c r="M4" s="278">
        <v>5</v>
      </c>
    </row>
    <row r="5" spans="1:13" ht="15">
      <c r="A5" s="90">
        <v>104</v>
      </c>
      <c r="B5" s="235" t="s">
        <v>124</v>
      </c>
      <c r="C5" s="278">
        <v>2</v>
      </c>
      <c r="D5" s="278"/>
      <c r="E5" s="278">
        <v>4</v>
      </c>
      <c r="F5" s="278">
        <v>2</v>
      </c>
      <c r="G5" s="322">
        <v>10.1</v>
      </c>
      <c r="H5" s="323">
        <v>14.8</v>
      </c>
      <c r="I5" s="323">
        <v>13.1</v>
      </c>
      <c r="J5" s="323">
        <v>14.3</v>
      </c>
      <c r="K5" s="323">
        <v>11.8</v>
      </c>
      <c r="L5" s="243">
        <v>15.1</v>
      </c>
      <c r="M5" s="278">
        <v>5</v>
      </c>
    </row>
    <row r="6" spans="1:13" ht="15">
      <c r="A6" s="90">
        <v>109</v>
      </c>
      <c r="B6" s="235" t="s">
        <v>125</v>
      </c>
      <c r="C6" s="278">
        <v>2</v>
      </c>
      <c r="D6" s="278"/>
      <c r="E6" s="278">
        <v>4</v>
      </c>
      <c r="F6" s="278">
        <v>1</v>
      </c>
      <c r="G6" s="322">
        <v>14.7</v>
      </c>
      <c r="H6" s="323">
        <v>14.8</v>
      </c>
      <c r="I6" s="323">
        <v>14.8</v>
      </c>
      <c r="J6" s="323">
        <v>11.4</v>
      </c>
      <c r="K6" s="323">
        <v>12.4</v>
      </c>
      <c r="L6" s="243">
        <v>12.7</v>
      </c>
      <c r="M6" s="278">
        <v>5</v>
      </c>
    </row>
    <row r="7" spans="1:13" ht="15">
      <c r="A7" s="90">
        <v>118</v>
      </c>
      <c r="B7" s="243" t="s">
        <v>126</v>
      </c>
      <c r="C7" s="278">
        <v>2</v>
      </c>
      <c r="D7" s="278"/>
      <c r="E7" s="278">
        <v>2</v>
      </c>
      <c r="F7" s="278">
        <v>3</v>
      </c>
      <c r="G7" s="322">
        <v>20.3</v>
      </c>
      <c r="H7" s="323">
        <v>19.8</v>
      </c>
      <c r="I7" s="323"/>
      <c r="J7" s="323"/>
      <c r="K7" s="323"/>
      <c r="L7" s="243"/>
      <c r="M7" s="278">
        <v>5</v>
      </c>
    </row>
    <row r="8" spans="1:13" ht="15">
      <c r="A8" s="90">
        <v>121</v>
      </c>
      <c r="B8" s="243" t="s">
        <v>127</v>
      </c>
      <c r="C8" s="278">
        <v>5</v>
      </c>
      <c r="D8" s="278"/>
      <c r="E8" s="278">
        <v>4</v>
      </c>
      <c r="F8" s="278">
        <v>2</v>
      </c>
      <c r="G8" s="322">
        <v>19.6</v>
      </c>
      <c r="H8" s="323"/>
      <c r="I8" s="323"/>
      <c r="J8" s="323"/>
      <c r="K8" s="323"/>
      <c r="L8" s="243"/>
      <c r="M8" s="278">
        <v>5</v>
      </c>
    </row>
    <row r="9" spans="1:13" ht="15">
      <c r="A9" s="90">
        <v>122</v>
      </c>
      <c r="B9" s="243" t="s">
        <v>128</v>
      </c>
      <c r="C9" s="278">
        <v>2</v>
      </c>
      <c r="D9" s="278"/>
      <c r="E9" s="278">
        <v>2</v>
      </c>
      <c r="F9" s="278">
        <v>1</v>
      </c>
      <c r="G9" s="322">
        <v>20.2</v>
      </c>
      <c r="H9" s="323">
        <v>25.3</v>
      </c>
      <c r="I9" s="323">
        <v>19.6</v>
      </c>
      <c r="J9" s="323">
        <v>21.7</v>
      </c>
      <c r="K9" s="323">
        <v>19.8</v>
      </c>
      <c r="L9" s="243"/>
      <c r="M9" s="278">
        <v>5</v>
      </c>
    </row>
    <row r="10" spans="1:13" ht="15">
      <c r="A10" s="90">
        <v>167</v>
      </c>
      <c r="B10" s="243" t="s">
        <v>129</v>
      </c>
      <c r="C10" s="278">
        <v>5</v>
      </c>
      <c r="D10" s="278"/>
      <c r="E10" s="278">
        <v>4</v>
      </c>
      <c r="F10" s="278">
        <v>3</v>
      </c>
      <c r="G10" s="322">
        <v>21.9</v>
      </c>
      <c r="H10" s="323">
        <v>21.1</v>
      </c>
      <c r="I10" s="323">
        <v>23.2</v>
      </c>
      <c r="J10" s="323">
        <v>21.4</v>
      </c>
      <c r="K10" s="323">
        <v>23.4</v>
      </c>
      <c r="L10" s="243">
        <v>22.2</v>
      </c>
      <c r="M10" s="278">
        <v>5</v>
      </c>
    </row>
    <row r="11" spans="1:13" ht="15">
      <c r="A11" s="90">
        <v>176</v>
      </c>
      <c r="B11" s="243" t="s">
        <v>130</v>
      </c>
      <c r="C11" s="278">
        <v>2</v>
      </c>
      <c r="D11" s="278"/>
      <c r="E11" s="278">
        <v>4</v>
      </c>
      <c r="F11" s="278">
        <v>3</v>
      </c>
      <c r="G11" s="322">
        <v>21.2</v>
      </c>
      <c r="H11" s="323">
        <v>22</v>
      </c>
      <c r="I11" s="323">
        <v>18.9</v>
      </c>
      <c r="J11" s="323">
        <v>20</v>
      </c>
      <c r="K11" s="323">
        <v>19.3</v>
      </c>
      <c r="L11" s="243">
        <v>17.5</v>
      </c>
      <c r="M11" s="278">
        <v>5</v>
      </c>
    </row>
    <row r="12" spans="1:13" ht="15">
      <c r="A12" s="90">
        <v>323</v>
      </c>
      <c r="B12" s="243" t="s">
        <v>131</v>
      </c>
      <c r="C12" s="278">
        <v>2</v>
      </c>
      <c r="D12" s="278"/>
      <c r="E12" s="278">
        <v>1</v>
      </c>
      <c r="F12" s="278">
        <v>3</v>
      </c>
      <c r="G12" s="322">
        <v>19.9</v>
      </c>
      <c r="H12" s="323">
        <v>17.5</v>
      </c>
      <c r="I12" s="323">
        <v>19.1</v>
      </c>
      <c r="J12" s="323"/>
      <c r="K12" s="323"/>
      <c r="L12" s="243"/>
      <c r="M12" s="278">
        <v>5</v>
      </c>
    </row>
    <row r="13" spans="1:13" ht="15">
      <c r="A13" s="90">
        <v>333</v>
      </c>
      <c r="B13" s="243" t="s">
        <v>132</v>
      </c>
      <c r="C13" s="278">
        <v>2</v>
      </c>
      <c r="D13" s="278"/>
      <c r="E13" s="278">
        <v>2</v>
      </c>
      <c r="F13" s="278">
        <v>1</v>
      </c>
      <c r="G13" s="322">
        <v>19.7</v>
      </c>
      <c r="H13" s="323">
        <v>18.5</v>
      </c>
      <c r="I13" s="323">
        <v>18.7</v>
      </c>
      <c r="J13" s="323">
        <v>19.4</v>
      </c>
      <c r="K13" s="323">
        <v>18.6</v>
      </c>
      <c r="L13" s="243">
        <v>17.7</v>
      </c>
      <c r="M13" s="278">
        <v>5</v>
      </c>
    </row>
    <row r="14" spans="1:13" ht="15">
      <c r="A14" s="90">
        <v>396</v>
      </c>
      <c r="B14" s="243" t="s">
        <v>133</v>
      </c>
      <c r="C14" s="278">
        <v>2</v>
      </c>
      <c r="D14" s="278"/>
      <c r="E14" s="278">
        <v>1</v>
      </c>
      <c r="F14" s="278">
        <v>3</v>
      </c>
      <c r="G14" s="322">
        <v>20.2</v>
      </c>
      <c r="H14" s="323">
        <v>19.5</v>
      </c>
      <c r="I14" s="323">
        <v>21.4</v>
      </c>
      <c r="J14" s="323">
        <v>22.2</v>
      </c>
      <c r="K14" s="323"/>
      <c r="L14" s="243"/>
      <c r="M14" s="278">
        <v>3</v>
      </c>
    </row>
    <row r="15" spans="1:13" ht="15">
      <c r="A15" s="90">
        <v>476</v>
      </c>
      <c r="B15" s="243" t="s">
        <v>134</v>
      </c>
      <c r="C15" s="278">
        <v>2</v>
      </c>
      <c r="D15" s="278"/>
      <c r="E15" s="278">
        <v>2</v>
      </c>
      <c r="F15" s="278">
        <v>3</v>
      </c>
      <c r="G15" s="322">
        <v>18.3</v>
      </c>
      <c r="H15" s="323">
        <v>18.1</v>
      </c>
      <c r="I15" s="323">
        <v>20.2</v>
      </c>
      <c r="J15" s="323">
        <v>27.8</v>
      </c>
      <c r="K15" s="323">
        <v>17.9</v>
      </c>
      <c r="L15" s="243">
        <v>20.6</v>
      </c>
      <c r="M15" s="278">
        <v>5</v>
      </c>
    </row>
    <row r="16" spans="1:13" ht="15">
      <c r="A16" s="90">
        <v>477</v>
      </c>
      <c r="B16" s="243" t="s">
        <v>135</v>
      </c>
      <c r="C16" s="278">
        <v>6</v>
      </c>
      <c r="D16" s="278"/>
      <c r="E16" s="278">
        <v>4</v>
      </c>
      <c r="F16" s="278">
        <v>3</v>
      </c>
      <c r="G16" s="322">
        <v>21.5</v>
      </c>
      <c r="H16" s="323">
        <v>23.4</v>
      </c>
      <c r="I16" s="323">
        <v>23</v>
      </c>
      <c r="J16" s="323">
        <v>21.9</v>
      </c>
      <c r="K16" s="323">
        <v>20.6</v>
      </c>
      <c r="L16" s="243">
        <v>19.6</v>
      </c>
      <c r="M16" s="278">
        <v>7</v>
      </c>
    </row>
    <row r="17" spans="1:13" ht="15">
      <c r="A17" s="90">
        <v>481</v>
      </c>
      <c r="B17" s="243" t="s">
        <v>136</v>
      </c>
      <c r="C17" s="278">
        <v>2</v>
      </c>
      <c r="D17" s="278"/>
      <c r="E17" s="278">
        <v>2</v>
      </c>
      <c r="F17" s="278">
        <v>3</v>
      </c>
      <c r="G17" s="322">
        <v>20.3</v>
      </c>
      <c r="H17" s="323">
        <v>19.4</v>
      </c>
      <c r="I17" s="323">
        <v>17.5</v>
      </c>
      <c r="J17" s="323">
        <v>19.9</v>
      </c>
      <c r="K17" s="323">
        <v>17.1</v>
      </c>
      <c r="L17" s="243">
        <v>19.1</v>
      </c>
      <c r="M17" s="278">
        <v>5</v>
      </c>
    </row>
    <row r="18" spans="1:13" ht="15">
      <c r="A18" s="90">
        <v>500</v>
      </c>
      <c r="B18" s="243" t="s">
        <v>137</v>
      </c>
      <c r="C18" s="278">
        <v>4</v>
      </c>
      <c r="D18" s="278"/>
      <c r="E18" s="278">
        <v>4</v>
      </c>
      <c r="F18" s="278">
        <v>1</v>
      </c>
      <c r="G18" s="322">
        <v>20.1</v>
      </c>
      <c r="H18" s="323">
        <v>22</v>
      </c>
      <c r="I18" s="323">
        <v>18.6</v>
      </c>
      <c r="J18" s="323">
        <v>21.3</v>
      </c>
      <c r="K18" s="323">
        <v>20.6</v>
      </c>
      <c r="L18" s="243">
        <v>20.6</v>
      </c>
      <c r="M18" s="278">
        <v>5</v>
      </c>
    </row>
    <row r="19" spans="1:13" ht="15">
      <c r="A19" s="90">
        <v>501</v>
      </c>
      <c r="B19" s="243" t="s">
        <v>138</v>
      </c>
      <c r="C19" s="278">
        <v>2</v>
      </c>
      <c r="D19" s="278"/>
      <c r="E19" s="278">
        <v>2</v>
      </c>
      <c r="F19" s="278">
        <v>2</v>
      </c>
      <c r="G19" s="322">
        <v>19.3</v>
      </c>
      <c r="H19" s="323">
        <v>15</v>
      </c>
      <c r="I19" s="323">
        <v>15.7</v>
      </c>
      <c r="J19" s="323">
        <v>16.7</v>
      </c>
      <c r="K19" s="323">
        <v>15.9</v>
      </c>
      <c r="L19" s="243">
        <v>16.4</v>
      </c>
      <c r="M19" s="278">
        <v>5</v>
      </c>
    </row>
    <row r="20" spans="1:13" ht="15">
      <c r="A20" s="90">
        <v>502</v>
      </c>
      <c r="B20" s="243" t="s">
        <v>139</v>
      </c>
      <c r="C20" s="278">
        <v>4</v>
      </c>
      <c r="D20" s="278"/>
      <c r="E20" s="278">
        <v>6</v>
      </c>
      <c r="F20" s="278">
        <v>3</v>
      </c>
      <c r="G20" s="324">
        <v>24.9</v>
      </c>
      <c r="H20" s="325">
        <v>20</v>
      </c>
      <c r="I20" s="325">
        <v>18.6</v>
      </c>
      <c r="J20" s="325">
        <v>20.5</v>
      </c>
      <c r="K20" s="325">
        <v>21.4</v>
      </c>
      <c r="L20" s="244">
        <v>23</v>
      </c>
      <c r="M20" s="278">
        <v>5</v>
      </c>
    </row>
    <row r="21" spans="1:13" ht="15">
      <c r="A21" s="90">
        <v>512</v>
      </c>
      <c r="B21" s="244" t="s">
        <v>140</v>
      </c>
      <c r="C21" s="278">
        <v>2</v>
      </c>
      <c r="D21" s="278"/>
      <c r="E21" s="278">
        <v>2</v>
      </c>
      <c r="F21" s="278">
        <v>2</v>
      </c>
      <c r="G21" s="324">
        <v>14.8</v>
      </c>
      <c r="H21" s="325">
        <v>14.4</v>
      </c>
      <c r="I21" s="325">
        <v>12.7</v>
      </c>
      <c r="J21" s="325">
        <v>14.1</v>
      </c>
      <c r="K21" s="325">
        <v>14.4</v>
      </c>
      <c r="L21" s="244">
        <v>13.9</v>
      </c>
      <c r="M21" s="278">
        <v>5</v>
      </c>
    </row>
    <row r="22" spans="1:13" ht="15">
      <c r="A22" s="90">
        <v>518</v>
      </c>
      <c r="B22" s="244" t="s">
        <v>141</v>
      </c>
      <c r="C22" s="278">
        <v>2</v>
      </c>
      <c r="D22" s="278"/>
      <c r="E22" s="278">
        <v>2</v>
      </c>
      <c r="F22" s="278">
        <v>3</v>
      </c>
      <c r="G22" s="324">
        <v>20.6</v>
      </c>
      <c r="H22" s="325">
        <v>19.8</v>
      </c>
      <c r="I22" s="325">
        <v>20.3</v>
      </c>
      <c r="J22" s="325">
        <v>18.8</v>
      </c>
      <c r="K22" s="325">
        <v>20.5</v>
      </c>
      <c r="L22" s="244">
        <v>17.1</v>
      </c>
      <c r="M22" s="278">
        <v>9</v>
      </c>
    </row>
    <row r="23" spans="1:13" ht="15">
      <c r="A23" s="90">
        <v>519</v>
      </c>
      <c r="B23" s="244" t="s">
        <v>142</v>
      </c>
      <c r="C23" s="278">
        <v>4</v>
      </c>
      <c r="D23" s="278"/>
      <c r="E23" s="278">
        <v>4</v>
      </c>
      <c r="F23" s="278">
        <v>3</v>
      </c>
      <c r="G23" s="324">
        <v>17.1</v>
      </c>
      <c r="H23" s="325">
        <v>14.5</v>
      </c>
      <c r="I23" s="325">
        <v>17.1</v>
      </c>
      <c r="J23" s="325">
        <v>17.5</v>
      </c>
      <c r="K23" s="325">
        <v>16.8</v>
      </c>
      <c r="L23" s="244">
        <v>16.6</v>
      </c>
      <c r="M23" s="278">
        <v>5</v>
      </c>
    </row>
    <row r="24" spans="1:13" ht="15">
      <c r="A24" s="90">
        <v>520</v>
      </c>
      <c r="B24" s="244" t="s">
        <v>143</v>
      </c>
      <c r="C24" s="278">
        <v>5</v>
      </c>
      <c r="D24" s="278"/>
      <c r="E24" s="278">
        <v>5</v>
      </c>
      <c r="F24" s="278">
        <v>1</v>
      </c>
      <c r="G24" s="324">
        <v>18.7</v>
      </c>
      <c r="H24" s="325">
        <v>20.2</v>
      </c>
      <c r="I24" s="325">
        <v>18.5</v>
      </c>
      <c r="J24" s="325">
        <v>18.9</v>
      </c>
      <c r="K24" s="325">
        <v>17.4</v>
      </c>
      <c r="L24" s="244">
        <v>18</v>
      </c>
      <c r="M24" s="278">
        <v>9</v>
      </c>
    </row>
    <row r="25" spans="1:13" ht="15">
      <c r="A25" s="90">
        <v>523</v>
      </c>
      <c r="B25" s="244" t="s">
        <v>144</v>
      </c>
      <c r="C25" s="278">
        <v>2</v>
      </c>
      <c r="D25" s="278"/>
      <c r="E25" s="278">
        <v>2</v>
      </c>
      <c r="F25" s="278">
        <v>1</v>
      </c>
      <c r="G25" s="324">
        <v>13.2</v>
      </c>
      <c r="H25" s="325">
        <v>13.1</v>
      </c>
      <c r="I25" s="325">
        <v>11.7</v>
      </c>
      <c r="J25" s="325">
        <v>12.9</v>
      </c>
      <c r="K25" s="325">
        <v>10.5</v>
      </c>
      <c r="L25" s="244">
        <v>12.4</v>
      </c>
      <c r="M25" s="278">
        <v>5</v>
      </c>
    </row>
    <row r="26" spans="1:13" ht="15">
      <c r="A26" s="90">
        <v>524</v>
      </c>
      <c r="B26" s="244" t="s">
        <v>145</v>
      </c>
      <c r="C26" s="278">
        <v>2</v>
      </c>
      <c r="D26" s="278"/>
      <c r="E26" s="278">
        <v>2</v>
      </c>
      <c r="F26" s="278">
        <v>1</v>
      </c>
      <c r="G26" s="324">
        <v>13.1</v>
      </c>
      <c r="H26" s="325">
        <v>13.5</v>
      </c>
      <c r="I26" s="325">
        <v>14.7</v>
      </c>
      <c r="J26" s="325">
        <v>13</v>
      </c>
      <c r="K26" s="325">
        <v>14.5</v>
      </c>
      <c r="L26" s="244">
        <v>13.7</v>
      </c>
      <c r="M26" s="278">
        <v>5</v>
      </c>
    </row>
    <row r="27" spans="1:13" ht="15">
      <c r="A27" s="90">
        <v>527</v>
      </c>
      <c r="B27" s="244" t="s">
        <v>146</v>
      </c>
      <c r="C27" s="278">
        <v>2</v>
      </c>
      <c r="D27" s="278"/>
      <c r="E27" s="278">
        <v>2</v>
      </c>
      <c r="F27" s="278">
        <v>3</v>
      </c>
      <c r="G27" s="324">
        <v>14.3</v>
      </c>
      <c r="H27" s="325">
        <v>14.4</v>
      </c>
      <c r="I27" s="325">
        <v>14</v>
      </c>
      <c r="J27" s="325">
        <v>14.2</v>
      </c>
      <c r="K27" s="325">
        <v>16.8</v>
      </c>
      <c r="L27" s="244">
        <v>15.5</v>
      </c>
      <c r="M27" s="278">
        <v>1</v>
      </c>
    </row>
    <row r="28" spans="1:13" ht="15">
      <c r="A28" s="90">
        <v>534</v>
      </c>
      <c r="B28" s="244" t="s">
        <v>147</v>
      </c>
      <c r="C28" s="278">
        <v>2</v>
      </c>
      <c r="D28" s="278"/>
      <c r="E28" s="278">
        <v>4</v>
      </c>
      <c r="F28" s="278">
        <v>3</v>
      </c>
      <c r="G28" s="324">
        <v>18.3</v>
      </c>
      <c r="H28" s="325">
        <v>17.8</v>
      </c>
      <c r="I28" s="325">
        <v>18.9</v>
      </c>
      <c r="J28" s="325">
        <v>17.2</v>
      </c>
      <c r="K28" s="325">
        <v>18.1</v>
      </c>
      <c r="L28" s="244">
        <v>18.6</v>
      </c>
      <c r="M28" s="278">
        <v>5</v>
      </c>
    </row>
    <row r="29" spans="1:13" ht="15">
      <c r="A29" s="90">
        <v>539</v>
      </c>
      <c r="B29" s="244" t="s">
        <v>148</v>
      </c>
      <c r="C29" s="278">
        <v>2</v>
      </c>
      <c r="D29" s="278"/>
      <c r="E29" s="278">
        <v>5</v>
      </c>
      <c r="F29" s="278">
        <v>3</v>
      </c>
      <c r="G29" s="324">
        <v>18.8</v>
      </c>
      <c r="H29" s="325">
        <v>17.4</v>
      </c>
      <c r="I29" s="325">
        <v>18.4</v>
      </c>
      <c r="J29" s="325">
        <v>18.2</v>
      </c>
      <c r="K29" s="325">
        <v>17.8</v>
      </c>
      <c r="L29" s="244">
        <v>16.8</v>
      </c>
      <c r="M29" s="278">
        <v>5</v>
      </c>
    </row>
    <row r="30" spans="1:13" ht="15">
      <c r="A30" s="90">
        <v>540</v>
      </c>
      <c r="B30" s="235" t="s">
        <v>149</v>
      </c>
      <c r="C30" s="278">
        <v>2</v>
      </c>
      <c r="D30" s="278"/>
      <c r="E30" s="278">
        <v>2</v>
      </c>
      <c r="F30" s="278">
        <v>1</v>
      </c>
      <c r="G30" s="322">
        <v>11.8</v>
      </c>
      <c r="H30" s="323">
        <v>11</v>
      </c>
      <c r="I30" s="323">
        <v>13.4</v>
      </c>
      <c r="J30" s="323">
        <v>12</v>
      </c>
      <c r="K30" s="323">
        <v>15</v>
      </c>
      <c r="L30" s="243">
        <v>12.6</v>
      </c>
      <c r="M30" s="278">
        <v>5</v>
      </c>
    </row>
    <row r="31" spans="1:13" ht="15">
      <c r="A31" s="90">
        <v>547</v>
      </c>
      <c r="B31" s="243" t="s">
        <v>150</v>
      </c>
      <c r="C31" s="278">
        <v>2</v>
      </c>
      <c r="D31" s="278"/>
      <c r="E31" s="278">
        <v>2</v>
      </c>
      <c r="F31" s="278">
        <v>1</v>
      </c>
      <c r="G31" s="322">
        <v>16.6</v>
      </c>
      <c r="H31" s="323">
        <v>15.2</v>
      </c>
      <c r="I31" s="323">
        <v>14.5</v>
      </c>
      <c r="J31" s="323">
        <v>12.5</v>
      </c>
      <c r="K31" s="323">
        <v>15</v>
      </c>
      <c r="L31" s="243">
        <v>14.3</v>
      </c>
      <c r="M31" s="278">
        <v>5</v>
      </c>
    </row>
    <row r="32" spans="1:13" ht="15">
      <c r="A32" s="90">
        <v>553</v>
      </c>
      <c r="B32" s="243" t="s">
        <v>151</v>
      </c>
      <c r="C32" s="278">
        <v>2</v>
      </c>
      <c r="D32" s="278"/>
      <c r="E32" s="278">
        <v>4</v>
      </c>
      <c r="F32" s="278">
        <v>1</v>
      </c>
      <c r="G32" s="322">
        <v>13.1</v>
      </c>
      <c r="H32" s="323">
        <v>12.6</v>
      </c>
      <c r="I32" s="323">
        <v>13</v>
      </c>
      <c r="J32" s="323">
        <v>11.2</v>
      </c>
      <c r="K32" s="323">
        <v>12.2</v>
      </c>
      <c r="L32" s="243">
        <v>11.8</v>
      </c>
      <c r="M32" s="278">
        <v>5</v>
      </c>
    </row>
    <row r="33" spans="1:13" ht="15">
      <c r="A33" s="90">
        <v>597</v>
      </c>
      <c r="B33" s="243" t="s">
        <v>152</v>
      </c>
      <c r="C33" s="278">
        <v>3</v>
      </c>
      <c r="D33" s="278"/>
      <c r="E33" s="278">
        <v>4</v>
      </c>
      <c r="F33" s="278">
        <v>1</v>
      </c>
      <c r="G33" s="322">
        <v>11.4</v>
      </c>
      <c r="H33" s="323">
        <v>12.9</v>
      </c>
      <c r="I33" s="323">
        <v>12.2</v>
      </c>
      <c r="J33" s="323">
        <v>11.6</v>
      </c>
      <c r="K33" s="323">
        <v>11.8</v>
      </c>
      <c r="L33" s="243">
        <v>10.9</v>
      </c>
      <c r="M33" s="278">
        <v>5</v>
      </c>
    </row>
    <row r="34" spans="1:13" ht="15">
      <c r="A34" s="90">
        <v>635</v>
      </c>
      <c r="B34" s="243" t="s">
        <v>153</v>
      </c>
      <c r="C34" s="278">
        <v>2</v>
      </c>
      <c r="D34" s="278"/>
      <c r="E34" s="278">
        <v>5</v>
      </c>
      <c r="F34" s="278">
        <v>2</v>
      </c>
      <c r="G34" s="322">
        <v>13.1</v>
      </c>
      <c r="H34" s="323">
        <v>16.1</v>
      </c>
      <c r="I34" s="323">
        <v>12.9</v>
      </c>
      <c r="J34" s="323">
        <v>13.5</v>
      </c>
      <c r="K34" s="323">
        <v>12</v>
      </c>
      <c r="L34" s="243">
        <v>12.5</v>
      </c>
      <c r="M34" s="278">
        <v>5</v>
      </c>
    </row>
    <row r="35" spans="1:13" ht="15">
      <c r="A35" s="90">
        <v>667</v>
      </c>
      <c r="B35" s="243" t="s">
        <v>154</v>
      </c>
      <c r="C35" s="278">
        <v>5</v>
      </c>
      <c r="D35" s="278"/>
      <c r="E35" s="278">
        <v>6</v>
      </c>
      <c r="F35" s="278">
        <v>3</v>
      </c>
      <c r="G35" s="322">
        <v>25.2</v>
      </c>
      <c r="H35" s="323">
        <v>25</v>
      </c>
      <c r="I35" s="323">
        <v>24.1</v>
      </c>
      <c r="J35" s="323">
        <v>21.3</v>
      </c>
      <c r="K35" s="323">
        <v>20.1</v>
      </c>
      <c r="L35" s="243">
        <v>21.9</v>
      </c>
      <c r="M35" s="278">
        <v>7</v>
      </c>
    </row>
    <row r="36" spans="1:13" ht="15">
      <c r="A36" s="90">
        <v>669</v>
      </c>
      <c r="B36" s="243" t="s">
        <v>155</v>
      </c>
      <c r="C36" s="278">
        <v>2</v>
      </c>
      <c r="D36" s="278"/>
      <c r="E36" s="278">
        <v>2</v>
      </c>
      <c r="F36" s="278">
        <v>1</v>
      </c>
      <c r="G36" s="322">
        <v>18</v>
      </c>
      <c r="H36" s="323">
        <v>17.9</v>
      </c>
      <c r="I36" s="323"/>
      <c r="J36" s="323"/>
      <c r="K36" s="323"/>
      <c r="L36" s="243"/>
      <c r="M36" s="278">
        <v>7</v>
      </c>
    </row>
    <row r="37" spans="1:13" ht="15">
      <c r="A37" s="90">
        <v>670</v>
      </c>
      <c r="B37" s="243" t="s">
        <v>156</v>
      </c>
      <c r="C37" s="278">
        <v>7</v>
      </c>
      <c r="D37" s="278"/>
      <c r="E37" s="278">
        <v>7</v>
      </c>
      <c r="F37" s="278">
        <v>1</v>
      </c>
      <c r="G37" s="322">
        <v>15.4</v>
      </c>
      <c r="H37" s="323">
        <v>15.9</v>
      </c>
      <c r="I37" s="323">
        <v>13.9</v>
      </c>
      <c r="J37" s="323">
        <v>15.8</v>
      </c>
      <c r="K37" s="323">
        <v>15.1</v>
      </c>
      <c r="L37" s="243">
        <v>17.8</v>
      </c>
      <c r="M37" s="278">
        <v>5</v>
      </c>
    </row>
    <row r="38" spans="1:13" ht="15">
      <c r="A38" s="90">
        <v>674</v>
      </c>
      <c r="B38" s="243" t="s">
        <v>157</v>
      </c>
      <c r="C38" s="278">
        <v>2</v>
      </c>
      <c r="D38" s="278"/>
      <c r="E38" s="278">
        <v>2</v>
      </c>
      <c r="F38" s="278">
        <v>1</v>
      </c>
      <c r="G38" s="322">
        <v>16.5</v>
      </c>
      <c r="H38" s="323">
        <v>21.6</v>
      </c>
      <c r="I38" s="323">
        <v>18.2</v>
      </c>
      <c r="J38" s="323">
        <v>15.7</v>
      </c>
      <c r="K38" s="323">
        <v>18.7</v>
      </c>
      <c r="L38" s="243">
        <v>16.7</v>
      </c>
      <c r="M38" s="278">
        <v>5</v>
      </c>
    </row>
    <row r="39" spans="1:13" ht="15">
      <c r="A39" s="90">
        <v>696</v>
      </c>
      <c r="B39" s="243" t="s">
        <v>158</v>
      </c>
      <c r="C39" s="278">
        <v>4</v>
      </c>
      <c r="D39" s="278"/>
      <c r="E39" s="278">
        <v>4</v>
      </c>
      <c r="F39" s="278">
        <v>3</v>
      </c>
      <c r="G39" s="322">
        <v>18</v>
      </c>
      <c r="H39" s="323">
        <v>18</v>
      </c>
      <c r="I39" s="323">
        <v>16</v>
      </c>
      <c r="J39" s="323">
        <v>18.5</v>
      </c>
      <c r="K39" s="323">
        <v>16.4</v>
      </c>
      <c r="L39" s="243">
        <v>16.6</v>
      </c>
      <c r="M39" s="278">
        <v>5</v>
      </c>
    </row>
    <row r="40" spans="1:13" ht="15">
      <c r="A40" s="90">
        <v>826</v>
      </c>
      <c r="B40" s="243" t="s">
        <v>159</v>
      </c>
      <c r="C40" s="278">
        <v>2</v>
      </c>
      <c r="D40" s="278"/>
      <c r="E40" s="278">
        <v>2</v>
      </c>
      <c r="F40" s="278">
        <v>3</v>
      </c>
      <c r="G40" s="322">
        <v>15.9</v>
      </c>
      <c r="H40" s="323">
        <v>12.5</v>
      </c>
      <c r="I40" s="323">
        <v>15</v>
      </c>
      <c r="J40" s="323">
        <v>15.6</v>
      </c>
      <c r="K40" s="323">
        <v>14.8</v>
      </c>
      <c r="L40" s="243">
        <v>14.7</v>
      </c>
      <c r="M40" s="278">
        <v>1</v>
      </c>
    </row>
    <row r="41" spans="1:13" ht="15">
      <c r="A41" s="90">
        <v>1262</v>
      </c>
      <c r="B41" s="244" t="s">
        <v>160</v>
      </c>
      <c r="C41" s="278">
        <v>2</v>
      </c>
      <c r="D41" s="278"/>
      <c r="E41" s="278">
        <v>6</v>
      </c>
      <c r="F41" s="278">
        <v>3</v>
      </c>
      <c r="G41" s="324">
        <v>22.4</v>
      </c>
      <c r="H41" s="325">
        <v>21.6</v>
      </c>
      <c r="I41" s="325">
        <v>21.1</v>
      </c>
      <c r="J41" s="325">
        <v>21.6</v>
      </c>
      <c r="K41" s="325">
        <v>21.6</v>
      </c>
      <c r="L41" s="244">
        <f>(18.6+20.6)/2</f>
        <v>19.6</v>
      </c>
      <c r="M41" s="278">
        <v>5</v>
      </c>
    </row>
    <row r="42" spans="1:13" ht="15">
      <c r="A42" s="90">
        <v>1306</v>
      </c>
      <c r="B42" s="244" t="s">
        <v>161</v>
      </c>
      <c r="C42" s="278">
        <v>2</v>
      </c>
      <c r="D42" s="278"/>
      <c r="E42" s="278">
        <v>2</v>
      </c>
      <c r="F42" s="278">
        <v>1</v>
      </c>
      <c r="G42" s="324">
        <v>18.3</v>
      </c>
      <c r="H42" s="325">
        <v>20.4</v>
      </c>
      <c r="I42" s="325">
        <v>19.9</v>
      </c>
      <c r="J42" s="325">
        <v>17.3</v>
      </c>
      <c r="K42" s="325">
        <v>19.3</v>
      </c>
      <c r="L42" s="244">
        <v>18.3</v>
      </c>
      <c r="M42" s="278">
        <v>5</v>
      </c>
    </row>
    <row r="43" spans="1:13" ht="15">
      <c r="A43" s="90">
        <v>74</v>
      </c>
      <c r="B43" s="244" t="s">
        <v>162</v>
      </c>
      <c r="C43" s="278">
        <v>2</v>
      </c>
      <c r="D43" s="278"/>
      <c r="E43" s="278">
        <v>2</v>
      </c>
      <c r="F43" s="278">
        <v>1</v>
      </c>
      <c r="G43" s="324">
        <v>12</v>
      </c>
      <c r="H43" s="325">
        <v>13</v>
      </c>
      <c r="I43" s="325">
        <v>12</v>
      </c>
      <c r="J43" s="325">
        <v>11.8</v>
      </c>
      <c r="K43" s="325">
        <v>12.3</v>
      </c>
      <c r="L43" s="244">
        <v>13.1</v>
      </c>
      <c r="M43" s="278">
        <v>5</v>
      </c>
    </row>
    <row r="44" spans="1:13" ht="15">
      <c r="A44" s="90">
        <v>1395</v>
      </c>
      <c r="B44" s="244" t="s">
        <v>163</v>
      </c>
      <c r="C44" s="278">
        <v>2</v>
      </c>
      <c r="D44" s="278"/>
      <c r="E44" s="278">
        <v>6</v>
      </c>
      <c r="F44" s="278">
        <v>3</v>
      </c>
      <c r="G44" s="324">
        <v>16.1</v>
      </c>
      <c r="H44" s="325">
        <v>16.6</v>
      </c>
      <c r="I44" s="325">
        <v>16.7</v>
      </c>
      <c r="J44" s="325">
        <v>16.6</v>
      </c>
      <c r="K44" s="325">
        <v>15.4</v>
      </c>
      <c r="L44" s="244">
        <v>16.1</v>
      </c>
      <c r="M44" s="278">
        <v>5</v>
      </c>
    </row>
    <row r="45" spans="1:13" ht="15">
      <c r="A45" s="90">
        <v>1473</v>
      </c>
      <c r="B45" s="244" t="s">
        <v>164</v>
      </c>
      <c r="C45" s="278">
        <v>2</v>
      </c>
      <c r="D45" s="278"/>
      <c r="E45" s="278">
        <v>4</v>
      </c>
      <c r="F45" s="278">
        <v>3</v>
      </c>
      <c r="G45" s="324">
        <v>14.9</v>
      </c>
      <c r="H45" s="325">
        <v>14.3</v>
      </c>
      <c r="I45" s="325">
        <v>13.3</v>
      </c>
      <c r="J45" s="325">
        <v>13.7</v>
      </c>
      <c r="K45" s="325">
        <v>14.5</v>
      </c>
      <c r="L45" s="244">
        <v>13.1</v>
      </c>
      <c r="M45" s="278">
        <v>5</v>
      </c>
    </row>
    <row r="46" spans="1:13" ht="15">
      <c r="A46" s="90">
        <v>1488</v>
      </c>
      <c r="B46" s="244" t="s">
        <v>165</v>
      </c>
      <c r="C46" s="278">
        <v>2</v>
      </c>
      <c r="D46" s="278"/>
      <c r="E46" s="278">
        <v>6</v>
      </c>
      <c r="F46" s="278">
        <v>4</v>
      </c>
      <c r="G46" s="324">
        <v>18.5</v>
      </c>
      <c r="H46" s="325">
        <v>20</v>
      </c>
      <c r="I46" s="325">
        <v>19.1</v>
      </c>
      <c r="J46" s="325">
        <v>20.2</v>
      </c>
      <c r="K46" s="325">
        <v>20.7</v>
      </c>
      <c r="L46" s="244">
        <v>20</v>
      </c>
      <c r="M46" s="278">
        <v>1</v>
      </c>
    </row>
    <row r="47" spans="1:13" ht="15">
      <c r="A47" s="90">
        <v>1489</v>
      </c>
      <c r="B47" s="244" t="s">
        <v>166</v>
      </c>
      <c r="C47" s="278">
        <v>4</v>
      </c>
      <c r="D47" s="278"/>
      <c r="E47" s="278">
        <v>2</v>
      </c>
      <c r="F47" s="278">
        <v>3</v>
      </c>
      <c r="G47" s="324">
        <v>13.4</v>
      </c>
      <c r="H47" s="325">
        <v>16.7</v>
      </c>
      <c r="I47" s="325">
        <v>14.9</v>
      </c>
      <c r="J47" s="325">
        <v>14.3</v>
      </c>
      <c r="K47" s="325">
        <v>16.8</v>
      </c>
      <c r="L47" s="244">
        <v>15.1</v>
      </c>
      <c r="M47" s="278">
        <v>5</v>
      </c>
    </row>
    <row r="48" spans="1:13" ht="15">
      <c r="A48" s="90">
        <v>1506</v>
      </c>
      <c r="B48" s="244" t="s">
        <v>167</v>
      </c>
      <c r="C48" s="278">
        <v>2</v>
      </c>
      <c r="D48" s="278"/>
      <c r="E48" s="278">
        <v>2</v>
      </c>
      <c r="F48" s="278">
        <v>3</v>
      </c>
      <c r="G48" s="324">
        <v>16</v>
      </c>
      <c r="H48" s="325">
        <v>14.5</v>
      </c>
      <c r="I48" s="325">
        <v>12.6</v>
      </c>
      <c r="J48" s="325">
        <v>18</v>
      </c>
      <c r="K48" s="325">
        <v>13.1</v>
      </c>
      <c r="L48" s="244">
        <v>16</v>
      </c>
      <c r="M48" s="278">
        <v>1</v>
      </c>
    </row>
    <row r="49" spans="1:13" ht="15">
      <c r="A49" s="90">
        <v>1508</v>
      </c>
      <c r="B49" s="244" t="s">
        <v>168</v>
      </c>
      <c r="C49" s="278">
        <v>2</v>
      </c>
      <c r="D49" s="278"/>
      <c r="E49" s="278">
        <v>3</v>
      </c>
      <c r="F49" s="278">
        <v>3</v>
      </c>
      <c r="G49" s="324">
        <v>14.1</v>
      </c>
      <c r="H49" s="325">
        <v>15.2</v>
      </c>
      <c r="I49" s="325">
        <v>13.2</v>
      </c>
      <c r="J49" s="325">
        <v>15.9</v>
      </c>
      <c r="K49" s="325">
        <v>16</v>
      </c>
      <c r="L49" s="244">
        <v>15.6</v>
      </c>
      <c r="M49" s="278">
        <v>5</v>
      </c>
    </row>
    <row r="50" spans="1:13" ht="15">
      <c r="A50" s="90">
        <v>1511</v>
      </c>
      <c r="B50" s="244" t="s">
        <v>169</v>
      </c>
      <c r="C50" s="278">
        <v>2</v>
      </c>
      <c r="D50" s="278"/>
      <c r="E50" s="278">
        <v>4</v>
      </c>
      <c r="F50" s="278">
        <v>3</v>
      </c>
      <c r="G50" s="324">
        <v>12.8</v>
      </c>
      <c r="H50" s="325">
        <v>16.7</v>
      </c>
      <c r="I50" s="325">
        <v>13.1</v>
      </c>
      <c r="J50" s="325">
        <v>16.3</v>
      </c>
      <c r="K50" s="325">
        <v>15.7</v>
      </c>
      <c r="L50" s="244">
        <v>16.2</v>
      </c>
      <c r="M50" s="278">
        <v>5</v>
      </c>
    </row>
    <row r="51" spans="1:13" ht="15">
      <c r="A51" s="90">
        <v>1514</v>
      </c>
      <c r="B51" s="246" t="s">
        <v>170</v>
      </c>
      <c r="C51" s="278">
        <v>2</v>
      </c>
      <c r="D51" s="278"/>
      <c r="E51" s="278">
        <v>2</v>
      </c>
      <c r="F51" s="278">
        <v>3</v>
      </c>
      <c r="G51" s="324">
        <v>12.3</v>
      </c>
      <c r="H51" s="325">
        <v>13.7</v>
      </c>
      <c r="I51" s="325">
        <v>12.9</v>
      </c>
      <c r="J51" s="325">
        <v>12.4</v>
      </c>
      <c r="K51" s="325">
        <v>13.7</v>
      </c>
      <c r="L51" s="244">
        <v>13.4</v>
      </c>
      <c r="M51" s="278">
        <v>1</v>
      </c>
    </row>
    <row r="52" spans="1:13" ht="15">
      <c r="A52" s="90">
        <v>1516</v>
      </c>
      <c r="B52" s="244" t="s">
        <v>171</v>
      </c>
      <c r="C52" s="278">
        <v>5</v>
      </c>
      <c r="D52" s="278"/>
      <c r="E52" s="278">
        <v>6</v>
      </c>
      <c r="F52" s="278">
        <v>3</v>
      </c>
      <c r="G52" s="324">
        <v>21.1</v>
      </c>
      <c r="H52" s="325">
        <v>21.5</v>
      </c>
      <c r="I52" s="325">
        <v>21.2</v>
      </c>
      <c r="J52" s="325">
        <v>21.6</v>
      </c>
      <c r="K52" s="325">
        <v>20.8</v>
      </c>
      <c r="L52" s="244">
        <v>21.6</v>
      </c>
      <c r="M52" s="278">
        <v>9</v>
      </c>
    </row>
    <row r="53" spans="1:13" ht="15">
      <c r="A53" s="90">
        <v>1530</v>
      </c>
      <c r="B53" s="244" t="s">
        <v>172</v>
      </c>
      <c r="C53" s="278">
        <v>5</v>
      </c>
      <c r="D53" s="278"/>
      <c r="E53" s="278">
        <v>5</v>
      </c>
      <c r="F53" s="278">
        <v>3</v>
      </c>
      <c r="G53" s="324">
        <v>14.5</v>
      </c>
      <c r="H53" s="325">
        <v>12.4</v>
      </c>
      <c r="I53" s="325">
        <v>15.8</v>
      </c>
      <c r="J53" s="325">
        <v>18.8</v>
      </c>
      <c r="K53" s="325">
        <v>15.2</v>
      </c>
      <c r="L53" s="244">
        <v>16.8</v>
      </c>
      <c r="M53" s="278">
        <v>1</v>
      </c>
    </row>
    <row r="54" spans="1:13" ht="15">
      <c r="A54" s="194">
        <v>1634</v>
      </c>
      <c r="B54" s="244" t="s">
        <v>173</v>
      </c>
      <c r="C54" s="278"/>
      <c r="D54" s="278"/>
      <c r="E54" s="278"/>
      <c r="F54" s="278"/>
      <c r="G54" s="324">
        <v>17.7</v>
      </c>
      <c r="H54" s="325">
        <v>15.3</v>
      </c>
      <c r="I54" s="325">
        <v>17.3</v>
      </c>
      <c r="J54" s="325">
        <v>19.1</v>
      </c>
      <c r="K54" s="325">
        <v>20.4</v>
      </c>
      <c r="L54" s="244">
        <v>18.9</v>
      </c>
      <c r="M54" s="278"/>
    </row>
    <row r="55" spans="1:13" ht="15">
      <c r="A55" s="194">
        <v>1635</v>
      </c>
      <c r="B55" s="244" t="s">
        <v>174</v>
      </c>
      <c r="C55" s="278">
        <v>6</v>
      </c>
      <c r="D55" s="278"/>
      <c r="E55" s="278">
        <v>5</v>
      </c>
      <c r="F55" s="278">
        <v>5</v>
      </c>
      <c r="G55" s="324">
        <v>20</v>
      </c>
      <c r="H55" s="325">
        <v>20.9</v>
      </c>
      <c r="I55" s="325">
        <v>20.2</v>
      </c>
      <c r="J55" s="325">
        <v>19.3</v>
      </c>
      <c r="K55" s="325">
        <v>19.5</v>
      </c>
      <c r="L55" s="244">
        <v>20.1</v>
      </c>
      <c r="M55" s="278">
        <v>5</v>
      </c>
    </row>
    <row r="56" spans="1:13" ht="15">
      <c r="A56" s="194">
        <v>1636</v>
      </c>
      <c r="B56" s="244" t="s">
        <v>175</v>
      </c>
      <c r="C56" s="278">
        <v>2</v>
      </c>
      <c r="D56" s="278"/>
      <c r="E56" s="278">
        <v>2</v>
      </c>
      <c r="F56" s="278">
        <v>3</v>
      </c>
      <c r="G56" s="324">
        <v>17.2</v>
      </c>
      <c r="H56" s="325">
        <v>18.5</v>
      </c>
      <c r="I56" s="325">
        <v>15.7</v>
      </c>
      <c r="J56" s="325">
        <v>16.9</v>
      </c>
      <c r="K56" s="325">
        <v>17.2</v>
      </c>
      <c r="L56" s="244">
        <v>18.4</v>
      </c>
      <c r="M56" s="278">
        <v>5</v>
      </c>
    </row>
    <row r="57" spans="1:13" ht="15">
      <c r="A57" s="194">
        <v>1638</v>
      </c>
      <c r="B57" s="244" t="s">
        <v>176</v>
      </c>
      <c r="C57" s="278">
        <v>2</v>
      </c>
      <c r="D57" s="278"/>
      <c r="E57" s="278">
        <v>2</v>
      </c>
      <c r="F57" s="278">
        <v>3</v>
      </c>
      <c r="G57" s="324">
        <v>20.2</v>
      </c>
      <c r="H57" s="325">
        <v>19.4</v>
      </c>
      <c r="I57" s="325">
        <v>20.8</v>
      </c>
      <c r="J57" s="325">
        <v>15.7</v>
      </c>
      <c r="K57" s="325">
        <v>21</v>
      </c>
      <c r="L57" s="244">
        <v>17.1</v>
      </c>
      <c r="M57" s="278">
        <v>5</v>
      </c>
    </row>
    <row r="58" spans="1:13" ht="15">
      <c r="A58" s="194">
        <v>1639</v>
      </c>
      <c r="B58" s="244" t="s">
        <v>177</v>
      </c>
      <c r="C58" s="278">
        <v>4</v>
      </c>
      <c r="D58" s="278"/>
      <c r="E58" s="278">
        <v>7</v>
      </c>
      <c r="F58" s="278">
        <v>3</v>
      </c>
      <c r="G58" s="324">
        <v>16.1</v>
      </c>
      <c r="H58" s="325">
        <v>16.9</v>
      </c>
      <c r="I58" s="325">
        <v>15.4</v>
      </c>
      <c r="J58" s="325">
        <v>18.1</v>
      </c>
      <c r="K58" s="325">
        <v>15</v>
      </c>
      <c r="L58" s="244">
        <v>16.9</v>
      </c>
      <c r="M58" s="278">
        <v>5</v>
      </c>
    </row>
    <row r="59" spans="1:13" ht="15">
      <c r="A59" s="194">
        <v>1640</v>
      </c>
      <c r="B59" s="244" t="s">
        <v>178</v>
      </c>
      <c r="C59" s="278">
        <v>2</v>
      </c>
      <c r="D59" s="278"/>
      <c r="E59" s="278">
        <v>4</v>
      </c>
      <c r="F59" s="278">
        <v>3</v>
      </c>
      <c r="G59" s="324">
        <v>19.1</v>
      </c>
      <c r="H59" s="325">
        <v>19.3</v>
      </c>
      <c r="I59" s="325">
        <v>20.4</v>
      </c>
      <c r="J59" s="325">
        <v>18.7</v>
      </c>
      <c r="K59" s="325">
        <v>19.1</v>
      </c>
      <c r="L59" s="244">
        <v>20.5</v>
      </c>
      <c r="M59" s="278">
        <v>5</v>
      </c>
    </row>
    <row r="60" spans="1:13" ht="15">
      <c r="A60" s="194">
        <v>1642</v>
      </c>
      <c r="B60" s="244" t="s">
        <v>179</v>
      </c>
      <c r="C60" s="278">
        <v>6</v>
      </c>
      <c r="D60" s="278"/>
      <c r="E60" s="278">
        <v>4</v>
      </c>
      <c r="F60" s="278">
        <v>3</v>
      </c>
      <c r="G60" s="324">
        <v>22.1</v>
      </c>
      <c r="H60" s="325">
        <v>20.5</v>
      </c>
      <c r="I60" s="325">
        <v>19.8</v>
      </c>
      <c r="J60" s="325">
        <v>20.3</v>
      </c>
      <c r="K60" s="325">
        <v>19.5</v>
      </c>
      <c r="L60" s="244">
        <v>19.8</v>
      </c>
      <c r="M60" s="278">
        <v>5</v>
      </c>
    </row>
    <row r="61" spans="1:13" ht="15">
      <c r="A61" s="194">
        <v>1643</v>
      </c>
      <c r="B61" s="246" t="s">
        <v>180</v>
      </c>
      <c r="C61" s="278">
        <v>2</v>
      </c>
      <c r="D61" s="278"/>
      <c r="E61" s="278">
        <v>4</v>
      </c>
      <c r="F61" s="278">
        <v>3</v>
      </c>
      <c r="G61" s="324">
        <v>17.3</v>
      </c>
      <c r="H61" s="325">
        <v>18.4</v>
      </c>
      <c r="I61" s="325">
        <v>18.3</v>
      </c>
      <c r="J61" s="325">
        <v>18.4</v>
      </c>
      <c r="K61" s="325">
        <v>17.5</v>
      </c>
      <c r="L61" s="244">
        <v>18.4</v>
      </c>
      <c r="M61" s="278">
        <v>5</v>
      </c>
    </row>
    <row r="62" spans="1:13" ht="15">
      <c r="A62" s="194">
        <v>1644</v>
      </c>
      <c r="B62" s="244" t="s">
        <v>181</v>
      </c>
      <c r="C62" s="278">
        <v>2</v>
      </c>
      <c r="D62" s="278"/>
      <c r="E62" s="278">
        <v>2</v>
      </c>
      <c r="F62" s="278">
        <v>3</v>
      </c>
      <c r="G62" s="324">
        <v>17.8</v>
      </c>
      <c r="H62" s="325">
        <v>19.3</v>
      </c>
      <c r="I62" s="325">
        <v>17.3</v>
      </c>
      <c r="J62" s="325">
        <v>20</v>
      </c>
      <c r="K62" s="325">
        <v>17.6</v>
      </c>
      <c r="L62" s="244">
        <v>19.5</v>
      </c>
      <c r="M62" s="278">
        <v>5</v>
      </c>
    </row>
    <row r="63" spans="1:13" ht="15">
      <c r="A63" s="194">
        <v>1645</v>
      </c>
      <c r="B63" s="244" t="s">
        <v>182</v>
      </c>
      <c r="C63" s="278">
        <v>2</v>
      </c>
      <c r="D63" s="278"/>
      <c r="E63" s="278">
        <v>4</v>
      </c>
      <c r="F63" s="278">
        <v>3</v>
      </c>
      <c r="G63" s="324">
        <v>16</v>
      </c>
      <c r="H63" s="325">
        <v>16.2</v>
      </c>
      <c r="I63" s="325">
        <v>16.6</v>
      </c>
      <c r="J63" s="325">
        <v>17.3</v>
      </c>
      <c r="K63" s="325">
        <v>16.2</v>
      </c>
      <c r="L63" s="244">
        <v>15.9</v>
      </c>
      <c r="M63" s="278">
        <v>5</v>
      </c>
    </row>
    <row r="64" spans="1:13" ht="15">
      <c r="A64" s="194">
        <v>1646</v>
      </c>
      <c r="B64" s="244" t="s">
        <v>183</v>
      </c>
      <c r="C64" s="278">
        <v>2</v>
      </c>
      <c r="D64" s="278"/>
      <c r="E64" s="278">
        <v>1</v>
      </c>
      <c r="F64" s="278">
        <v>3</v>
      </c>
      <c r="G64" s="324">
        <v>17.4</v>
      </c>
      <c r="H64" s="325">
        <v>17.7</v>
      </c>
      <c r="I64" s="325">
        <v>18.7</v>
      </c>
      <c r="J64" s="325">
        <v>18.7</v>
      </c>
      <c r="K64" s="325">
        <v>21</v>
      </c>
      <c r="L64" s="244">
        <v>20.4</v>
      </c>
      <c r="M64" s="278">
        <v>1</v>
      </c>
    </row>
    <row r="65" spans="1:13" ht="15">
      <c r="A65" s="194">
        <v>1647</v>
      </c>
      <c r="B65" s="244" t="s">
        <v>184</v>
      </c>
      <c r="C65" s="278">
        <v>2</v>
      </c>
      <c r="D65" s="278"/>
      <c r="E65" s="278">
        <v>2</v>
      </c>
      <c r="F65" s="278">
        <v>3</v>
      </c>
      <c r="G65" s="324">
        <v>19.4</v>
      </c>
      <c r="H65" s="325">
        <v>19.4</v>
      </c>
      <c r="I65" s="325">
        <v>20.9</v>
      </c>
      <c r="J65" s="325">
        <v>20.8</v>
      </c>
      <c r="K65" s="325">
        <v>21.2</v>
      </c>
      <c r="L65" s="244">
        <v>19</v>
      </c>
      <c r="M65" s="278">
        <v>5</v>
      </c>
    </row>
    <row r="66" spans="1:13" ht="15">
      <c r="A66" s="194">
        <v>1648</v>
      </c>
      <c r="B66" s="244" t="s">
        <v>185</v>
      </c>
      <c r="C66" s="278">
        <v>3</v>
      </c>
      <c r="D66" s="278"/>
      <c r="E66" s="278">
        <v>6</v>
      </c>
      <c r="F66" s="278">
        <v>3</v>
      </c>
      <c r="G66" s="324">
        <v>17.9</v>
      </c>
      <c r="H66" s="325">
        <v>18.5</v>
      </c>
      <c r="I66" s="325">
        <v>16.7</v>
      </c>
      <c r="J66" s="325">
        <v>20.6</v>
      </c>
      <c r="K66" s="325">
        <v>19.1</v>
      </c>
      <c r="L66" s="244">
        <v>18.4</v>
      </c>
      <c r="M66" s="278">
        <v>5</v>
      </c>
    </row>
    <row r="67" spans="1:13" ht="15">
      <c r="A67" s="194">
        <v>1649</v>
      </c>
      <c r="B67" s="244" t="s">
        <v>186</v>
      </c>
      <c r="C67" s="278">
        <v>2</v>
      </c>
      <c r="D67" s="278"/>
      <c r="E67" s="278">
        <v>2</v>
      </c>
      <c r="F67" s="278">
        <v>3</v>
      </c>
      <c r="G67" s="324">
        <v>18.2</v>
      </c>
      <c r="H67" s="325">
        <v>18</v>
      </c>
      <c r="I67" s="325">
        <v>16.9</v>
      </c>
      <c r="J67" s="325">
        <v>15.3</v>
      </c>
      <c r="K67" s="325">
        <v>17.8</v>
      </c>
      <c r="L67" s="244">
        <v>16.3</v>
      </c>
      <c r="M67" s="278">
        <v>5</v>
      </c>
    </row>
    <row r="68" spans="1:13" ht="15">
      <c r="A68" s="194">
        <v>1650</v>
      </c>
      <c r="B68" s="244" t="s">
        <v>188</v>
      </c>
      <c r="C68" s="278">
        <v>2</v>
      </c>
      <c r="D68" s="278"/>
      <c r="E68" s="278">
        <v>2</v>
      </c>
      <c r="F68" s="278">
        <v>2</v>
      </c>
      <c r="G68" s="324">
        <v>21.5</v>
      </c>
      <c r="H68" s="325">
        <v>20.2</v>
      </c>
      <c r="I68" s="325">
        <v>17.7</v>
      </c>
      <c r="J68" s="325">
        <v>21.8</v>
      </c>
      <c r="K68" s="325">
        <v>17.4</v>
      </c>
      <c r="L68" s="244">
        <f>(18.3+19.3)/2</f>
        <v>18.8</v>
      </c>
      <c r="M68" s="278">
        <v>5</v>
      </c>
    </row>
    <row r="69" spans="1:13" ht="15">
      <c r="A69" s="194">
        <v>1651</v>
      </c>
      <c r="B69" s="246" t="s">
        <v>189</v>
      </c>
      <c r="C69" s="278">
        <v>2</v>
      </c>
      <c r="D69" s="278"/>
      <c r="E69" s="278">
        <v>4</v>
      </c>
      <c r="F69" s="278">
        <v>3</v>
      </c>
      <c r="G69" s="324">
        <v>19.9</v>
      </c>
      <c r="H69" s="325">
        <v>18.9</v>
      </c>
      <c r="I69" s="325">
        <v>19.6</v>
      </c>
      <c r="J69" s="325">
        <v>18.5</v>
      </c>
      <c r="K69" s="325">
        <v>18.8</v>
      </c>
      <c r="L69" s="244">
        <v>20</v>
      </c>
      <c r="M69" s="278">
        <v>1</v>
      </c>
    </row>
    <row r="70" spans="1:13" ht="15">
      <c r="A70" s="194">
        <v>1652</v>
      </c>
      <c r="B70" s="246" t="s">
        <v>190</v>
      </c>
      <c r="C70" s="278">
        <v>2</v>
      </c>
      <c r="D70" s="278"/>
      <c r="E70" s="278">
        <v>2</v>
      </c>
      <c r="F70" s="278">
        <v>2</v>
      </c>
      <c r="G70" s="324">
        <v>18.5</v>
      </c>
      <c r="H70" s="325">
        <v>17.5</v>
      </c>
      <c r="I70" s="325">
        <v>18.9</v>
      </c>
      <c r="J70" s="325">
        <v>16.3</v>
      </c>
      <c r="K70" s="325">
        <v>17.2</v>
      </c>
      <c r="L70" s="244">
        <v>17.2</v>
      </c>
      <c r="M70" s="278">
        <v>1</v>
      </c>
    </row>
    <row r="71" spans="1:13" ht="15">
      <c r="A71" s="194">
        <v>1653</v>
      </c>
      <c r="B71" s="244" t="s">
        <v>191</v>
      </c>
      <c r="C71" s="278">
        <v>2</v>
      </c>
      <c r="D71" s="278"/>
      <c r="E71" s="278">
        <v>6</v>
      </c>
      <c r="F71" s="278">
        <v>3</v>
      </c>
      <c r="G71" s="324">
        <v>21.9</v>
      </c>
      <c r="H71" s="325">
        <v>19.5</v>
      </c>
      <c r="I71" s="325">
        <v>21.1</v>
      </c>
      <c r="J71" s="325">
        <v>18.4</v>
      </c>
      <c r="K71" s="325">
        <v>20.5</v>
      </c>
      <c r="L71" s="244">
        <v>18.1</v>
      </c>
      <c r="M71" s="278">
        <v>5</v>
      </c>
    </row>
    <row r="72" spans="1:13" ht="15">
      <c r="A72" s="194">
        <v>1654</v>
      </c>
      <c r="B72" s="244" t="s">
        <v>192</v>
      </c>
      <c r="C72" s="278">
        <v>2</v>
      </c>
      <c r="D72" s="278"/>
      <c r="E72" s="278">
        <v>4</v>
      </c>
      <c r="F72" s="278">
        <v>3</v>
      </c>
      <c r="G72" s="324">
        <v>15.1</v>
      </c>
      <c r="H72" s="325">
        <v>15.6</v>
      </c>
      <c r="I72" s="325">
        <v>14.4</v>
      </c>
      <c r="J72" s="325">
        <v>14.4</v>
      </c>
      <c r="K72" s="325">
        <v>15.1</v>
      </c>
      <c r="L72" s="244">
        <v>15.8</v>
      </c>
      <c r="M72" s="278">
        <v>5</v>
      </c>
    </row>
    <row r="73" spans="1:13" ht="15">
      <c r="A73" s="194">
        <v>1655</v>
      </c>
      <c r="B73" s="244" t="s">
        <v>193</v>
      </c>
      <c r="C73" s="278">
        <v>4</v>
      </c>
      <c r="D73" s="278"/>
      <c r="E73" s="278">
        <v>6</v>
      </c>
      <c r="F73" s="278">
        <v>3</v>
      </c>
      <c r="G73" s="324">
        <v>17.5</v>
      </c>
      <c r="H73" s="325">
        <v>18.5</v>
      </c>
      <c r="I73" s="325">
        <v>16.4</v>
      </c>
      <c r="J73" s="325">
        <v>18.2</v>
      </c>
      <c r="K73" s="325">
        <v>17.7</v>
      </c>
      <c r="L73" s="244">
        <v>17.6</v>
      </c>
      <c r="M73" s="278">
        <v>1</v>
      </c>
    </row>
    <row r="74" spans="1:13" ht="15">
      <c r="A74" s="194">
        <v>1656</v>
      </c>
      <c r="B74" s="244" t="s">
        <v>194</v>
      </c>
      <c r="C74" s="278">
        <v>4</v>
      </c>
      <c r="D74" s="278"/>
      <c r="E74" s="278">
        <v>6</v>
      </c>
      <c r="F74" s="278">
        <v>3</v>
      </c>
      <c r="G74" s="324">
        <v>20.2</v>
      </c>
      <c r="H74" s="325">
        <v>20.1</v>
      </c>
      <c r="I74" s="325">
        <v>21.7</v>
      </c>
      <c r="J74" s="325">
        <v>21</v>
      </c>
      <c r="K74" s="325">
        <v>20.5</v>
      </c>
      <c r="L74" s="244">
        <f>(21.5+24.5)/2</f>
        <v>23</v>
      </c>
      <c r="M74" s="278">
        <v>5</v>
      </c>
    </row>
    <row r="75" spans="1:13" ht="15">
      <c r="A75" s="196">
        <v>675</v>
      </c>
      <c r="B75" s="244" t="s">
        <v>195</v>
      </c>
      <c r="C75" s="278">
        <v>2</v>
      </c>
      <c r="D75" s="278"/>
      <c r="E75" s="278">
        <v>4</v>
      </c>
      <c r="F75" s="278">
        <v>3</v>
      </c>
      <c r="G75" s="324">
        <v>16.5</v>
      </c>
      <c r="H75" s="325">
        <v>15.5</v>
      </c>
      <c r="I75" s="325">
        <v>16.8</v>
      </c>
      <c r="J75" s="325">
        <v>19</v>
      </c>
      <c r="K75" s="325">
        <v>18.6</v>
      </c>
      <c r="L75" s="244">
        <v>18.3</v>
      </c>
      <c r="M75" s="278">
        <v>3</v>
      </c>
    </row>
    <row r="76" spans="1:13" ht="15">
      <c r="A76" s="194">
        <v>1658</v>
      </c>
      <c r="B76" s="244" t="s">
        <v>196</v>
      </c>
      <c r="C76" s="278">
        <v>2</v>
      </c>
      <c r="D76" s="278"/>
      <c r="E76" s="278">
        <v>2</v>
      </c>
      <c r="F76" s="278">
        <v>2</v>
      </c>
      <c r="G76" s="324">
        <v>18.8</v>
      </c>
      <c r="H76" s="325">
        <v>19.2</v>
      </c>
      <c r="I76" s="325">
        <v>18.2</v>
      </c>
      <c r="J76" s="325">
        <v>19.4</v>
      </c>
      <c r="K76" s="325">
        <v>17.4</v>
      </c>
      <c r="L76" s="244">
        <v>18.6</v>
      </c>
      <c r="M76" s="278">
        <v>3</v>
      </c>
    </row>
    <row r="77" spans="1:13" ht="15">
      <c r="A77" s="194">
        <v>1659</v>
      </c>
      <c r="B77" s="244" t="s">
        <v>197</v>
      </c>
      <c r="C77" s="278">
        <v>2</v>
      </c>
      <c r="D77" s="278"/>
      <c r="E77" s="278">
        <v>2</v>
      </c>
      <c r="F77" s="278">
        <v>2</v>
      </c>
      <c r="G77" s="324">
        <v>17.5</v>
      </c>
      <c r="H77" s="325">
        <v>17.5</v>
      </c>
      <c r="I77" s="325">
        <v>15.9</v>
      </c>
      <c r="J77" s="325">
        <v>16.9</v>
      </c>
      <c r="K77" s="325">
        <v>15.4</v>
      </c>
      <c r="L77" s="244">
        <v>20.2</v>
      </c>
      <c r="M77" s="278">
        <v>3</v>
      </c>
    </row>
    <row r="78" spans="1:13" ht="15">
      <c r="A78" s="194">
        <v>1660</v>
      </c>
      <c r="B78" s="244" t="s">
        <v>198</v>
      </c>
      <c r="C78" s="278">
        <v>2</v>
      </c>
      <c r="D78" s="278"/>
      <c r="E78" s="278">
        <v>2</v>
      </c>
      <c r="F78" s="278">
        <v>3</v>
      </c>
      <c r="G78" s="324">
        <v>16.5</v>
      </c>
      <c r="H78" s="325">
        <v>18.9</v>
      </c>
      <c r="I78" s="325">
        <v>18.1</v>
      </c>
      <c r="J78" s="325">
        <v>16.3</v>
      </c>
      <c r="K78" s="325">
        <v>16.3</v>
      </c>
      <c r="L78" s="244">
        <v>16.7</v>
      </c>
      <c r="M78" s="278">
        <v>3</v>
      </c>
    </row>
    <row r="79" spans="1:13" ht="15">
      <c r="A79" s="194">
        <v>1661</v>
      </c>
      <c r="B79" s="244" t="s">
        <v>199</v>
      </c>
      <c r="C79" s="278">
        <v>2</v>
      </c>
      <c r="D79" s="278"/>
      <c r="E79" s="278">
        <v>2</v>
      </c>
      <c r="F79" s="278">
        <v>1</v>
      </c>
      <c r="G79" s="324">
        <v>18.8</v>
      </c>
      <c r="H79" s="325">
        <v>22</v>
      </c>
      <c r="I79" s="325">
        <v>17.1</v>
      </c>
      <c r="J79" s="325">
        <v>19.3</v>
      </c>
      <c r="K79" s="325">
        <v>19.3</v>
      </c>
      <c r="L79" s="244">
        <v>19.8</v>
      </c>
      <c r="M79" s="278">
        <v>5</v>
      </c>
    </row>
    <row r="80" spans="1:13" ht="15">
      <c r="A80" s="194">
        <v>1662</v>
      </c>
      <c r="B80" s="244" t="s">
        <v>200</v>
      </c>
      <c r="C80" s="278">
        <v>4</v>
      </c>
      <c r="D80" s="278"/>
      <c r="E80" s="278">
        <v>4</v>
      </c>
      <c r="F80" s="278">
        <v>1</v>
      </c>
      <c r="G80" s="324">
        <v>12.6</v>
      </c>
      <c r="H80" s="325">
        <v>12.8</v>
      </c>
      <c r="I80" s="325">
        <v>12.1</v>
      </c>
      <c r="J80" s="325">
        <v>11.5</v>
      </c>
      <c r="K80" s="325">
        <v>12.7</v>
      </c>
      <c r="L80" s="244">
        <v>12.5</v>
      </c>
      <c r="M80" s="278">
        <v>5</v>
      </c>
    </row>
    <row r="81" spans="1:13" ht="15">
      <c r="A81" s="194">
        <v>1663</v>
      </c>
      <c r="B81" s="244" t="s">
        <v>201</v>
      </c>
      <c r="C81" s="278">
        <v>4</v>
      </c>
      <c r="D81" s="278"/>
      <c r="E81" s="278">
        <v>6</v>
      </c>
      <c r="F81" s="278">
        <v>3</v>
      </c>
      <c r="G81" s="324">
        <v>19.2</v>
      </c>
      <c r="H81" s="325">
        <v>16.7</v>
      </c>
      <c r="I81" s="325">
        <v>18</v>
      </c>
      <c r="J81" s="325">
        <v>17.8</v>
      </c>
      <c r="K81" s="325">
        <v>15.4</v>
      </c>
      <c r="L81" s="244">
        <v>19.4</v>
      </c>
      <c r="M81" s="278">
        <v>1</v>
      </c>
    </row>
    <row r="82" spans="1:13" ht="15">
      <c r="A82" s="194">
        <v>1665</v>
      </c>
      <c r="B82" s="244" t="s">
        <v>202</v>
      </c>
      <c r="C82" s="278">
        <v>2</v>
      </c>
      <c r="D82" s="278"/>
      <c r="E82" s="278">
        <v>5</v>
      </c>
      <c r="F82" s="278">
        <v>3</v>
      </c>
      <c r="G82" s="324">
        <v>17.8</v>
      </c>
      <c r="H82" s="325">
        <v>18.2</v>
      </c>
      <c r="I82" s="325">
        <v>20.9</v>
      </c>
      <c r="J82" s="325">
        <v>19</v>
      </c>
      <c r="K82" s="325">
        <v>20.3</v>
      </c>
      <c r="L82" s="244">
        <v>18</v>
      </c>
      <c r="M82" s="278">
        <v>1</v>
      </c>
    </row>
    <row r="83" spans="1:13" ht="15">
      <c r="A83" s="194">
        <v>1666</v>
      </c>
      <c r="B83" s="244" t="s">
        <v>203</v>
      </c>
      <c r="C83" s="278">
        <v>2</v>
      </c>
      <c r="D83" s="278"/>
      <c r="E83" s="278">
        <v>2</v>
      </c>
      <c r="F83" s="278">
        <v>3</v>
      </c>
      <c r="G83" s="324">
        <v>22.6</v>
      </c>
      <c r="H83" s="325">
        <v>20.7</v>
      </c>
      <c r="I83" s="325">
        <v>22.3</v>
      </c>
      <c r="J83" s="325">
        <v>18.6</v>
      </c>
      <c r="K83" s="325">
        <v>20.9</v>
      </c>
      <c r="L83" s="244">
        <v>19.5</v>
      </c>
      <c r="M83" s="278">
        <v>5</v>
      </c>
    </row>
    <row r="84" spans="1:13" ht="15">
      <c r="A84" s="194">
        <v>1667</v>
      </c>
      <c r="B84" s="244" t="s">
        <v>204</v>
      </c>
      <c r="C84" s="278">
        <v>2</v>
      </c>
      <c r="D84" s="278"/>
      <c r="E84" s="278">
        <v>2</v>
      </c>
      <c r="F84" s="278">
        <v>2</v>
      </c>
      <c r="G84" s="324">
        <v>15.8</v>
      </c>
      <c r="H84" s="325">
        <v>12.7</v>
      </c>
      <c r="I84" s="325">
        <v>13.5</v>
      </c>
      <c r="J84" s="325">
        <v>15.5</v>
      </c>
      <c r="K84" s="325">
        <v>16.9</v>
      </c>
      <c r="L84" s="244">
        <v>17.8</v>
      </c>
      <c r="M84" s="278">
        <v>5</v>
      </c>
    </row>
    <row r="85" spans="1:13" ht="15">
      <c r="A85" s="194">
        <v>1668</v>
      </c>
      <c r="B85" s="244" t="s">
        <v>205</v>
      </c>
      <c r="C85" s="278">
        <v>2</v>
      </c>
      <c r="D85" s="278"/>
      <c r="E85" s="278">
        <v>6</v>
      </c>
      <c r="F85" s="278">
        <v>1</v>
      </c>
      <c r="G85" s="324">
        <v>17.9</v>
      </c>
      <c r="H85" s="325">
        <v>14.9</v>
      </c>
      <c r="I85" s="325">
        <v>16.9</v>
      </c>
      <c r="J85" s="325">
        <v>17.2</v>
      </c>
      <c r="K85" s="325">
        <v>15.9</v>
      </c>
      <c r="L85" s="244">
        <v>16</v>
      </c>
      <c r="M85" s="278">
        <v>5</v>
      </c>
    </row>
    <row r="86" spans="1:13" ht="15">
      <c r="A86" s="194">
        <v>1669</v>
      </c>
      <c r="B86" s="244" t="s">
        <v>206</v>
      </c>
      <c r="C86" s="278">
        <v>2</v>
      </c>
      <c r="D86" s="278"/>
      <c r="E86" s="278">
        <v>3</v>
      </c>
      <c r="F86" s="278">
        <v>3</v>
      </c>
      <c r="G86" s="324">
        <v>21.4</v>
      </c>
      <c r="H86" s="325">
        <v>18.9</v>
      </c>
      <c r="I86" s="325">
        <v>22.3</v>
      </c>
      <c r="J86" s="325">
        <v>19.4</v>
      </c>
      <c r="K86" s="325">
        <v>20.5</v>
      </c>
      <c r="L86" s="244">
        <v>18.8</v>
      </c>
      <c r="M86" s="278">
        <v>5</v>
      </c>
    </row>
    <row r="87" spans="1:13" ht="15">
      <c r="A87" s="194">
        <v>1670</v>
      </c>
      <c r="B87" s="244" t="s">
        <v>207</v>
      </c>
      <c r="C87" s="278">
        <v>2</v>
      </c>
      <c r="D87" s="278"/>
      <c r="E87" s="278">
        <v>6</v>
      </c>
      <c r="F87" s="278">
        <v>3</v>
      </c>
      <c r="G87" s="324">
        <v>14.7</v>
      </c>
      <c r="H87" s="325">
        <v>16.4</v>
      </c>
      <c r="I87" s="325">
        <v>15.7</v>
      </c>
      <c r="J87" s="325">
        <v>15.9</v>
      </c>
      <c r="K87" s="325">
        <v>16.8</v>
      </c>
      <c r="L87" s="244">
        <v>14.9</v>
      </c>
      <c r="M87" s="278">
        <v>5</v>
      </c>
    </row>
    <row r="88" spans="1:13" ht="15">
      <c r="A88" s="194">
        <v>1671</v>
      </c>
      <c r="B88" s="244" t="s">
        <v>208</v>
      </c>
      <c r="C88" s="278">
        <v>2</v>
      </c>
      <c r="D88" s="278"/>
      <c r="E88" s="278">
        <v>4</v>
      </c>
      <c r="F88" s="278">
        <v>3</v>
      </c>
      <c r="G88" s="324">
        <v>16.7</v>
      </c>
      <c r="H88" s="325">
        <v>16</v>
      </c>
      <c r="I88" s="325">
        <v>19.1</v>
      </c>
      <c r="J88" s="325">
        <v>17.6</v>
      </c>
      <c r="K88" s="325">
        <v>17.9</v>
      </c>
      <c r="L88" s="244">
        <v>17.8</v>
      </c>
      <c r="M88" s="278">
        <v>5</v>
      </c>
    </row>
    <row r="89" spans="1:13" ht="15">
      <c r="A89" s="194">
        <v>1672</v>
      </c>
      <c r="B89" s="244" t="s">
        <v>209</v>
      </c>
      <c r="C89" s="278">
        <v>6</v>
      </c>
      <c r="D89" s="278"/>
      <c r="E89" s="278">
        <v>4</v>
      </c>
      <c r="F89" s="278">
        <v>3</v>
      </c>
      <c r="G89" s="324">
        <v>18.1</v>
      </c>
      <c r="H89" s="325">
        <v>19.4</v>
      </c>
      <c r="I89" s="325">
        <v>20.9</v>
      </c>
      <c r="J89" s="325">
        <v>21.2</v>
      </c>
      <c r="K89" s="325">
        <v>19.8</v>
      </c>
      <c r="L89" s="244">
        <v>18.6</v>
      </c>
      <c r="M89" s="278">
        <v>5</v>
      </c>
    </row>
    <row r="90" spans="1:13" ht="15">
      <c r="A90" s="194">
        <v>1673</v>
      </c>
      <c r="B90" s="244" t="s">
        <v>210</v>
      </c>
      <c r="C90" s="278">
        <v>2</v>
      </c>
      <c r="D90" s="278"/>
      <c r="E90" s="278">
        <v>2</v>
      </c>
      <c r="F90" s="278">
        <v>3</v>
      </c>
      <c r="G90" s="324">
        <v>15.6</v>
      </c>
      <c r="H90" s="325">
        <v>15.6</v>
      </c>
      <c r="I90" s="325">
        <v>15.8</v>
      </c>
      <c r="J90" s="325">
        <v>15.1</v>
      </c>
      <c r="K90" s="325">
        <v>14.1</v>
      </c>
      <c r="L90" s="244">
        <v>15.9</v>
      </c>
      <c r="M90" s="278">
        <v>5</v>
      </c>
    </row>
    <row r="91" spans="1:13" ht="15">
      <c r="A91" s="194">
        <v>1674</v>
      </c>
      <c r="B91" s="244" t="s">
        <v>211</v>
      </c>
      <c r="C91" s="278">
        <v>2</v>
      </c>
      <c r="D91" s="278"/>
      <c r="E91" s="278">
        <v>2</v>
      </c>
      <c r="F91" s="278">
        <v>3</v>
      </c>
      <c r="G91" s="324">
        <v>15.4</v>
      </c>
      <c r="H91" s="325">
        <v>13.9</v>
      </c>
      <c r="I91" s="325">
        <v>15.4</v>
      </c>
      <c r="J91" s="325">
        <v>14.7</v>
      </c>
      <c r="K91" s="325">
        <v>15.1</v>
      </c>
      <c r="L91" s="244">
        <v>14.1</v>
      </c>
      <c r="M91" s="278">
        <v>5</v>
      </c>
    </row>
    <row r="92" spans="1:13" ht="15">
      <c r="A92" s="194">
        <v>1676</v>
      </c>
      <c r="B92" s="244" t="s">
        <v>212</v>
      </c>
      <c r="C92" s="278">
        <v>2</v>
      </c>
      <c r="D92" s="278"/>
      <c r="E92" s="278">
        <v>2</v>
      </c>
      <c r="F92" s="278">
        <v>2</v>
      </c>
      <c r="G92" s="324">
        <v>14.4</v>
      </c>
      <c r="H92" s="325">
        <v>15.1</v>
      </c>
      <c r="I92" s="325">
        <v>13.4</v>
      </c>
      <c r="J92" s="325">
        <v>14.9</v>
      </c>
      <c r="K92" s="325">
        <v>16.1</v>
      </c>
      <c r="L92" s="244">
        <v>15.5</v>
      </c>
      <c r="M92" s="278">
        <v>5</v>
      </c>
    </row>
    <row r="93" spans="1:13" ht="15">
      <c r="A93" s="194">
        <v>1678</v>
      </c>
      <c r="B93" s="246" t="s">
        <v>213</v>
      </c>
      <c r="C93" s="278">
        <v>2</v>
      </c>
      <c r="D93" s="278"/>
      <c r="E93" s="278">
        <v>4</v>
      </c>
      <c r="F93" s="278">
        <v>3</v>
      </c>
      <c r="G93" s="324">
        <v>17.5</v>
      </c>
      <c r="H93" s="325">
        <v>19</v>
      </c>
      <c r="I93" s="325">
        <v>16.4</v>
      </c>
      <c r="J93" s="325">
        <v>18.4</v>
      </c>
      <c r="K93" s="325">
        <v>16.9</v>
      </c>
      <c r="L93" s="244">
        <v>18.5</v>
      </c>
      <c r="M93" s="278">
        <v>5</v>
      </c>
    </row>
    <row r="94" spans="1:13" ht="15">
      <c r="A94" s="194">
        <v>1679</v>
      </c>
      <c r="B94" s="244" t="s">
        <v>214</v>
      </c>
      <c r="C94" s="278">
        <v>2</v>
      </c>
      <c r="D94" s="278"/>
      <c r="E94" s="278">
        <v>2</v>
      </c>
      <c r="F94" s="278">
        <v>3</v>
      </c>
      <c r="G94" s="324">
        <v>13</v>
      </c>
      <c r="H94" s="325">
        <v>13.9</v>
      </c>
      <c r="I94" s="325">
        <v>12.8</v>
      </c>
      <c r="J94" s="325">
        <v>13.8</v>
      </c>
      <c r="K94" s="325">
        <v>15.9</v>
      </c>
      <c r="L94" s="244">
        <v>15.4</v>
      </c>
      <c r="M94" s="278">
        <v>5</v>
      </c>
    </row>
    <row r="95" spans="1:13" ht="15">
      <c r="A95" s="194">
        <v>1680</v>
      </c>
      <c r="B95" s="244" t="s">
        <v>215</v>
      </c>
      <c r="C95" s="278">
        <v>2</v>
      </c>
      <c r="D95" s="278"/>
      <c r="E95" s="278">
        <v>2</v>
      </c>
      <c r="F95" s="278">
        <v>3</v>
      </c>
      <c r="G95" s="324">
        <v>14.6</v>
      </c>
      <c r="H95" s="325">
        <v>15.4</v>
      </c>
      <c r="I95" s="325">
        <v>15.1</v>
      </c>
      <c r="J95" s="325">
        <v>13.3</v>
      </c>
      <c r="K95" s="325">
        <v>15.4</v>
      </c>
      <c r="L95" s="244">
        <v>14.9</v>
      </c>
      <c r="M95" s="278">
        <v>5</v>
      </c>
    </row>
    <row r="96" spans="1:13" ht="15">
      <c r="A96" s="194">
        <v>1681</v>
      </c>
      <c r="B96" s="244" t="s">
        <v>216</v>
      </c>
      <c r="C96" s="278">
        <v>2</v>
      </c>
      <c r="D96" s="278"/>
      <c r="E96" s="278">
        <v>2</v>
      </c>
      <c r="F96" s="278">
        <v>4</v>
      </c>
      <c r="G96" s="324">
        <v>17.8</v>
      </c>
      <c r="H96" s="325">
        <v>17.5</v>
      </c>
      <c r="I96" s="325">
        <v>14.6</v>
      </c>
      <c r="J96" s="325">
        <v>17.7</v>
      </c>
      <c r="K96" s="325">
        <v>18.4</v>
      </c>
      <c r="L96" s="244">
        <v>18.4</v>
      </c>
      <c r="M96" s="278">
        <v>5</v>
      </c>
    </row>
    <row r="97" spans="1:13" ht="15">
      <c r="A97" s="194">
        <v>1682</v>
      </c>
      <c r="B97" s="244" t="s">
        <v>217</v>
      </c>
      <c r="C97" s="278">
        <v>6</v>
      </c>
      <c r="D97" s="278"/>
      <c r="E97" s="278">
        <v>6</v>
      </c>
      <c r="F97" s="278">
        <v>3</v>
      </c>
      <c r="G97" s="324">
        <v>18.5</v>
      </c>
      <c r="H97" s="325">
        <v>18.6</v>
      </c>
      <c r="I97" s="325">
        <v>19.2</v>
      </c>
      <c r="J97" s="325">
        <v>17.3</v>
      </c>
      <c r="K97" s="325">
        <v>18.5</v>
      </c>
      <c r="L97" s="244">
        <v>17.7</v>
      </c>
      <c r="M97" s="278">
        <v>5</v>
      </c>
    </row>
    <row r="98" spans="1:13" ht="15">
      <c r="A98" s="194">
        <v>1684</v>
      </c>
      <c r="B98" s="244" t="s">
        <v>218</v>
      </c>
      <c r="C98" s="278">
        <v>2</v>
      </c>
      <c r="D98" s="278"/>
      <c r="E98" s="278">
        <v>2</v>
      </c>
      <c r="F98" s="278">
        <v>2</v>
      </c>
      <c r="G98" s="324">
        <v>12.2</v>
      </c>
      <c r="H98" s="325">
        <v>13.5</v>
      </c>
      <c r="I98" s="325">
        <v>13.5</v>
      </c>
      <c r="J98" s="325">
        <v>12.1</v>
      </c>
      <c r="K98" s="325">
        <v>13.6</v>
      </c>
      <c r="L98" s="244">
        <v>14.1</v>
      </c>
      <c r="M98" s="278">
        <v>5</v>
      </c>
    </row>
    <row r="99" spans="1:13" ht="15">
      <c r="A99" s="194">
        <v>1685</v>
      </c>
      <c r="B99" s="244" t="s">
        <v>219</v>
      </c>
      <c r="C99" s="278">
        <v>2</v>
      </c>
      <c r="D99" s="278"/>
      <c r="E99" s="278">
        <v>3</v>
      </c>
      <c r="F99" s="278">
        <v>3</v>
      </c>
      <c r="G99" s="324">
        <v>12.6</v>
      </c>
      <c r="H99" s="325">
        <v>20.7</v>
      </c>
      <c r="I99" s="325">
        <v>19.2</v>
      </c>
      <c r="J99" s="325">
        <v>11.9</v>
      </c>
      <c r="K99" s="325">
        <v>20.1</v>
      </c>
      <c r="L99" s="244">
        <v>21.1</v>
      </c>
      <c r="M99" s="278">
        <v>5</v>
      </c>
    </row>
    <row r="100" spans="1:13" ht="15">
      <c r="A100" s="194">
        <v>1686</v>
      </c>
      <c r="B100" s="244" t="s">
        <v>220</v>
      </c>
      <c r="C100" s="278">
        <v>2</v>
      </c>
      <c r="D100" s="278"/>
      <c r="E100" s="278">
        <v>2</v>
      </c>
      <c r="F100" s="278">
        <v>2</v>
      </c>
      <c r="G100" s="322">
        <v>15.9</v>
      </c>
      <c r="H100" s="323">
        <v>16.4</v>
      </c>
      <c r="I100" s="323">
        <v>14.6</v>
      </c>
      <c r="J100" s="323">
        <v>14.8</v>
      </c>
      <c r="K100" s="323">
        <v>15.1</v>
      </c>
      <c r="L100" s="243">
        <v>16.6</v>
      </c>
      <c r="M100" s="278">
        <v>5</v>
      </c>
    </row>
    <row r="101" spans="1:13" ht="15">
      <c r="A101" s="194">
        <v>1687</v>
      </c>
      <c r="B101" s="244" t="s">
        <v>221</v>
      </c>
      <c r="C101" s="278">
        <v>2</v>
      </c>
      <c r="D101" s="278"/>
      <c r="E101" s="278">
        <v>2</v>
      </c>
      <c r="F101" s="278">
        <v>3</v>
      </c>
      <c r="G101" s="324">
        <v>19</v>
      </c>
      <c r="H101" s="325">
        <v>15.6</v>
      </c>
      <c r="I101" s="325">
        <v>18.4</v>
      </c>
      <c r="J101" s="325">
        <v>18.1</v>
      </c>
      <c r="K101" s="325">
        <v>17.7</v>
      </c>
      <c r="L101" s="244">
        <v>17.3</v>
      </c>
      <c r="M101" s="278">
        <v>5</v>
      </c>
    </row>
    <row r="102" spans="1:13" ht="15">
      <c r="A102" s="194">
        <v>1688</v>
      </c>
      <c r="B102" s="244" t="s">
        <v>222</v>
      </c>
      <c r="C102" s="278">
        <v>2</v>
      </c>
      <c r="D102" s="278"/>
      <c r="E102" s="278">
        <v>2</v>
      </c>
      <c r="F102" s="278">
        <v>3</v>
      </c>
      <c r="G102" s="324">
        <v>16.6</v>
      </c>
      <c r="H102" s="325">
        <v>15.7</v>
      </c>
      <c r="I102" s="325">
        <v>17</v>
      </c>
      <c r="J102" s="325">
        <v>15.1</v>
      </c>
      <c r="K102" s="325">
        <v>16.1</v>
      </c>
      <c r="L102" s="244">
        <v>16.5</v>
      </c>
      <c r="M102" s="278">
        <v>1</v>
      </c>
    </row>
    <row r="103" spans="1:13" ht="15">
      <c r="A103" s="197">
        <v>1689</v>
      </c>
      <c r="B103" s="243" t="s">
        <v>223</v>
      </c>
      <c r="C103" s="278">
        <v>4</v>
      </c>
      <c r="D103" s="278"/>
      <c r="E103" s="278">
        <v>6</v>
      </c>
      <c r="F103" s="278">
        <v>2</v>
      </c>
      <c r="G103" s="322">
        <v>12.5</v>
      </c>
      <c r="H103" s="323">
        <v>12.7</v>
      </c>
      <c r="I103" s="323">
        <v>12.2</v>
      </c>
      <c r="J103" s="323">
        <v>13.7</v>
      </c>
      <c r="K103" s="323">
        <v>13.7</v>
      </c>
      <c r="L103" s="243">
        <v>13</v>
      </c>
      <c r="M103" s="278">
        <v>5</v>
      </c>
    </row>
    <row r="104" spans="1:13" ht="15">
      <c r="A104" s="197">
        <v>1690</v>
      </c>
      <c r="B104" s="243" t="s">
        <v>224</v>
      </c>
      <c r="C104" s="278">
        <v>2</v>
      </c>
      <c r="D104" s="278"/>
      <c r="E104" s="278">
        <v>2</v>
      </c>
      <c r="F104" s="278">
        <v>3</v>
      </c>
      <c r="G104" s="322">
        <v>16.1</v>
      </c>
      <c r="H104" s="323">
        <v>15.9</v>
      </c>
      <c r="I104" s="323">
        <v>16</v>
      </c>
      <c r="J104" s="323">
        <v>16.2</v>
      </c>
      <c r="K104" s="323">
        <v>16.5</v>
      </c>
      <c r="L104" s="243">
        <v>14.3</v>
      </c>
      <c r="M104" s="278">
        <v>3</v>
      </c>
    </row>
    <row r="105" spans="1:13" ht="15">
      <c r="A105" s="198">
        <v>1691</v>
      </c>
      <c r="B105" s="243" t="s">
        <v>225</v>
      </c>
      <c r="C105" s="278">
        <v>2</v>
      </c>
      <c r="D105" s="278"/>
      <c r="E105" s="278">
        <v>2</v>
      </c>
      <c r="F105" s="278">
        <v>3</v>
      </c>
      <c r="G105" s="322">
        <v>15.3</v>
      </c>
      <c r="H105" s="323">
        <v>16.1</v>
      </c>
      <c r="I105" s="323">
        <v>18</v>
      </c>
      <c r="J105" s="323">
        <v>15.8</v>
      </c>
      <c r="K105" s="323">
        <v>17.3</v>
      </c>
      <c r="L105" s="243">
        <v>16.3</v>
      </c>
      <c r="M105" s="278">
        <v>3</v>
      </c>
    </row>
    <row r="106" spans="1:13" ht="15">
      <c r="A106" s="198">
        <v>1692</v>
      </c>
      <c r="B106" s="243" t="s">
        <v>226</v>
      </c>
      <c r="C106" s="278">
        <v>2</v>
      </c>
      <c r="D106" s="278"/>
      <c r="E106" s="278">
        <v>2</v>
      </c>
      <c r="F106" s="278">
        <v>3</v>
      </c>
      <c r="G106" s="322">
        <v>19</v>
      </c>
      <c r="H106" s="323">
        <v>19.9</v>
      </c>
      <c r="I106" s="323">
        <v>20.6</v>
      </c>
      <c r="J106" s="323">
        <v>17.5</v>
      </c>
      <c r="K106" s="323">
        <v>17.7</v>
      </c>
      <c r="L106" s="243">
        <v>17.7</v>
      </c>
      <c r="M106" s="278">
        <v>5</v>
      </c>
    </row>
    <row r="107" spans="1:13" ht="15">
      <c r="A107" s="198">
        <v>1693</v>
      </c>
      <c r="B107" s="243" t="s">
        <v>227</v>
      </c>
      <c r="C107" s="278">
        <v>2</v>
      </c>
      <c r="D107" s="278"/>
      <c r="E107" s="278">
        <v>4</v>
      </c>
      <c r="F107" s="278">
        <v>2</v>
      </c>
      <c r="G107" s="322">
        <v>16.8</v>
      </c>
      <c r="H107" s="323">
        <v>16.3</v>
      </c>
      <c r="I107" s="323">
        <v>17.9</v>
      </c>
      <c r="J107" s="323">
        <v>15.8</v>
      </c>
      <c r="K107" s="323">
        <v>16.2</v>
      </c>
      <c r="L107" s="243">
        <v>16.7</v>
      </c>
      <c r="M107" s="278">
        <v>5</v>
      </c>
    </row>
    <row r="108" spans="1:13" ht="15">
      <c r="A108" s="198">
        <v>1694</v>
      </c>
      <c r="B108" s="243" t="s">
        <v>228</v>
      </c>
      <c r="C108" s="278">
        <v>2</v>
      </c>
      <c r="D108" s="278"/>
      <c r="E108" s="278">
        <v>2</v>
      </c>
      <c r="F108" s="278">
        <v>2</v>
      </c>
      <c r="G108" s="322">
        <v>20</v>
      </c>
      <c r="H108" s="323">
        <v>18.8</v>
      </c>
      <c r="I108" s="323">
        <v>17.4</v>
      </c>
      <c r="J108" s="323">
        <v>17.6</v>
      </c>
      <c r="K108" s="323">
        <v>17.2</v>
      </c>
      <c r="L108" s="243">
        <v>18.2</v>
      </c>
      <c r="M108" s="278">
        <v>5</v>
      </c>
    </row>
    <row r="109" spans="1:13" ht="15">
      <c r="A109" s="198">
        <v>1695</v>
      </c>
      <c r="B109" s="243" t="s">
        <v>229</v>
      </c>
      <c r="C109" s="278">
        <v>2</v>
      </c>
      <c r="D109" s="278"/>
      <c r="E109" s="278">
        <v>2</v>
      </c>
      <c r="F109" s="278">
        <v>2</v>
      </c>
      <c r="G109" s="322">
        <v>12.8</v>
      </c>
      <c r="H109" s="323">
        <v>14.4</v>
      </c>
      <c r="I109" s="323">
        <v>15.3</v>
      </c>
      <c r="J109" s="323">
        <v>16.6</v>
      </c>
      <c r="K109" s="323">
        <v>15.2</v>
      </c>
      <c r="L109" s="243">
        <v>15.4</v>
      </c>
      <c r="M109" s="278">
        <v>5</v>
      </c>
    </row>
    <row r="110" spans="1:13" ht="15">
      <c r="A110" s="198">
        <v>1696</v>
      </c>
      <c r="B110" s="243" t="s">
        <v>230</v>
      </c>
      <c r="C110" s="278">
        <v>2</v>
      </c>
      <c r="D110" s="278"/>
      <c r="E110" s="278">
        <v>2</v>
      </c>
      <c r="F110" s="278">
        <v>3</v>
      </c>
      <c r="G110" s="322">
        <v>15.8</v>
      </c>
      <c r="H110" s="323">
        <v>17.4</v>
      </c>
      <c r="I110" s="323">
        <v>18.3</v>
      </c>
      <c r="J110" s="323">
        <v>16.5</v>
      </c>
      <c r="K110" s="323">
        <v>17.4</v>
      </c>
      <c r="L110" s="243">
        <v>17.8</v>
      </c>
      <c r="M110" s="278">
        <v>5</v>
      </c>
    </row>
    <row r="111" spans="1:13" ht="15">
      <c r="A111" s="198">
        <v>1697</v>
      </c>
      <c r="B111" s="243" t="s">
        <v>231</v>
      </c>
      <c r="C111" s="278">
        <v>4</v>
      </c>
      <c r="D111" s="278"/>
      <c r="E111" s="278">
        <v>4</v>
      </c>
      <c r="F111" s="278">
        <v>3</v>
      </c>
      <c r="G111" s="322">
        <v>18.6</v>
      </c>
      <c r="H111" s="323">
        <v>17.7</v>
      </c>
      <c r="I111" s="323">
        <v>17</v>
      </c>
      <c r="J111" s="323">
        <v>17.4</v>
      </c>
      <c r="K111" s="323">
        <v>18.1</v>
      </c>
      <c r="L111" s="243">
        <v>16.8</v>
      </c>
      <c r="M111" s="278">
        <v>5</v>
      </c>
    </row>
    <row r="112" spans="1:13" ht="15">
      <c r="A112" s="198">
        <v>1698</v>
      </c>
      <c r="B112" s="243" t="s">
        <v>232</v>
      </c>
      <c r="C112" s="278">
        <v>2</v>
      </c>
      <c r="D112" s="278"/>
      <c r="E112" s="278">
        <v>2</v>
      </c>
      <c r="F112" s="278">
        <v>1</v>
      </c>
      <c r="G112" s="322">
        <v>15.5</v>
      </c>
      <c r="H112" s="323">
        <v>13.2</v>
      </c>
      <c r="I112" s="323">
        <v>15.9</v>
      </c>
      <c r="J112" s="323">
        <v>16</v>
      </c>
      <c r="K112" s="323">
        <v>14.7</v>
      </c>
      <c r="L112" s="243">
        <v>15.8</v>
      </c>
      <c r="M112" s="278">
        <v>5</v>
      </c>
    </row>
    <row r="113" spans="1:13" ht="15">
      <c r="A113" s="197">
        <v>1699</v>
      </c>
      <c r="B113" s="243" t="s">
        <v>233</v>
      </c>
      <c r="C113" s="278">
        <v>2</v>
      </c>
      <c r="D113" s="278"/>
      <c r="E113" s="278">
        <v>2</v>
      </c>
      <c r="F113" s="278">
        <v>2</v>
      </c>
      <c r="G113" s="322">
        <v>19.3</v>
      </c>
      <c r="H113" s="323">
        <v>16.2</v>
      </c>
      <c r="I113" s="323">
        <v>16.9</v>
      </c>
      <c r="J113" s="323">
        <v>18.7</v>
      </c>
      <c r="K113" s="323">
        <v>15.8</v>
      </c>
      <c r="L113" s="243">
        <v>14.8</v>
      </c>
      <c r="M113" s="278">
        <v>5</v>
      </c>
    </row>
    <row r="114" spans="1:13" ht="15">
      <c r="A114" s="197">
        <v>1700</v>
      </c>
      <c r="B114" s="243" t="s">
        <v>235</v>
      </c>
      <c r="C114" s="278">
        <v>2</v>
      </c>
      <c r="D114" s="278"/>
      <c r="E114" s="278">
        <v>4</v>
      </c>
      <c r="F114" s="278">
        <v>3</v>
      </c>
      <c r="G114" s="322">
        <v>16</v>
      </c>
      <c r="H114" s="323">
        <v>17.5</v>
      </c>
      <c r="I114" s="323">
        <v>18.1</v>
      </c>
      <c r="J114" s="323">
        <v>19.9</v>
      </c>
      <c r="K114" s="323">
        <v>19.9</v>
      </c>
      <c r="L114" s="243">
        <v>16.7</v>
      </c>
      <c r="M114" s="278">
        <v>5</v>
      </c>
    </row>
    <row r="115" spans="1:13" ht="15">
      <c r="A115" s="197">
        <v>1701</v>
      </c>
      <c r="B115" s="243" t="s">
        <v>236</v>
      </c>
      <c r="C115" s="278">
        <v>4</v>
      </c>
      <c r="D115" s="278"/>
      <c r="E115" s="278">
        <v>6</v>
      </c>
      <c r="F115" s="278">
        <v>3</v>
      </c>
      <c r="G115" s="322">
        <v>19.8</v>
      </c>
      <c r="H115" s="323">
        <v>16.3</v>
      </c>
      <c r="I115" s="323">
        <v>19</v>
      </c>
      <c r="J115" s="323">
        <v>19.9</v>
      </c>
      <c r="K115" s="323">
        <v>16.9</v>
      </c>
      <c r="L115" s="243">
        <v>19.5</v>
      </c>
      <c r="M115" s="278">
        <v>5</v>
      </c>
    </row>
    <row r="116" spans="1:13" ht="15">
      <c r="A116" s="197">
        <v>1702</v>
      </c>
      <c r="B116" s="243" t="s">
        <v>237</v>
      </c>
      <c r="C116" s="278">
        <v>2</v>
      </c>
      <c r="D116" s="278"/>
      <c r="E116" s="278">
        <v>4</v>
      </c>
      <c r="F116" s="278">
        <v>3</v>
      </c>
      <c r="G116" s="322">
        <v>22.5</v>
      </c>
      <c r="H116" s="323">
        <v>25.6</v>
      </c>
      <c r="I116" s="323">
        <v>23.8</v>
      </c>
      <c r="J116" s="323">
        <v>23.3</v>
      </c>
      <c r="K116" s="323">
        <v>23.3</v>
      </c>
      <c r="L116" s="243">
        <v>20.8</v>
      </c>
      <c r="M116" s="278">
        <v>5</v>
      </c>
    </row>
    <row r="117" spans="1:13" ht="15">
      <c r="A117" s="197">
        <v>1703</v>
      </c>
      <c r="B117" s="243" t="s">
        <v>238</v>
      </c>
      <c r="C117" s="278">
        <v>2</v>
      </c>
      <c r="D117" s="278"/>
      <c r="E117" s="278">
        <v>2</v>
      </c>
      <c r="F117" s="278">
        <v>3</v>
      </c>
      <c r="G117" s="322">
        <v>19.3</v>
      </c>
      <c r="H117" s="323">
        <v>18.2</v>
      </c>
      <c r="I117" s="323">
        <v>20.1</v>
      </c>
      <c r="J117" s="323">
        <v>20.5</v>
      </c>
      <c r="K117" s="323">
        <v>20.1</v>
      </c>
      <c r="L117" s="243">
        <v>19.3</v>
      </c>
      <c r="M117" s="278">
        <v>5</v>
      </c>
    </row>
    <row r="118" spans="1:13" ht="15">
      <c r="A118" s="198">
        <v>1704</v>
      </c>
      <c r="B118" s="243" t="s">
        <v>239</v>
      </c>
      <c r="C118" s="278">
        <v>2</v>
      </c>
      <c r="D118" s="278"/>
      <c r="E118" s="278">
        <v>4</v>
      </c>
      <c r="F118" s="278">
        <v>2</v>
      </c>
      <c r="G118" s="322">
        <v>15.4</v>
      </c>
      <c r="H118" s="323">
        <v>16.5</v>
      </c>
      <c r="I118" s="323">
        <v>14.7</v>
      </c>
      <c r="J118" s="323">
        <v>17.3</v>
      </c>
      <c r="K118" s="323">
        <v>15.4</v>
      </c>
      <c r="L118" s="243">
        <v>16</v>
      </c>
      <c r="M118" s="278">
        <v>5</v>
      </c>
    </row>
    <row r="119" spans="1:13" ht="15">
      <c r="A119" s="198">
        <v>1705</v>
      </c>
      <c r="B119" s="243" t="s">
        <v>240</v>
      </c>
      <c r="C119" s="278">
        <v>2</v>
      </c>
      <c r="D119" s="278"/>
      <c r="E119" s="278">
        <v>2</v>
      </c>
      <c r="F119" s="278">
        <v>3</v>
      </c>
      <c r="G119" s="322">
        <v>19.8</v>
      </c>
      <c r="H119" s="323">
        <v>21.1</v>
      </c>
      <c r="I119" s="323">
        <v>20.4</v>
      </c>
      <c r="J119" s="323">
        <v>22.2</v>
      </c>
      <c r="K119" s="323">
        <v>19.1</v>
      </c>
      <c r="L119" s="243">
        <v>21.7</v>
      </c>
      <c r="M119" s="278">
        <v>5</v>
      </c>
    </row>
    <row r="120" spans="1:13" ht="15">
      <c r="A120" s="198">
        <v>1706</v>
      </c>
      <c r="B120" s="243" t="s">
        <v>241</v>
      </c>
      <c r="C120" s="278">
        <v>2</v>
      </c>
      <c r="D120" s="278"/>
      <c r="E120" s="278">
        <v>2</v>
      </c>
      <c r="F120" s="278">
        <v>3</v>
      </c>
      <c r="G120" s="322">
        <v>21</v>
      </c>
      <c r="H120" s="323">
        <v>21.4</v>
      </c>
      <c r="I120" s="323">
        <v>17.4</v>
      </c>
      <c r="J120" s="323">
        <v>18.5</v>
      </c>
      <c r="K120" s="323">
        <v>17.5</v>
      </c>
      <c r="L120" s="243"/>
      <c r="M120" s="278">
        <v>5</v>
      </c>
    </row>
    <row r="121" spans="1:13" ht="15">
      <c r="A121" s="198">
        <v>1707</v>
      </c>
      <c r="B121" s="243" t="s">
        <v>242</v>
      </c>
      <c r="C121" s="278">
        <v>2</v>
      </c>
      <c r="D121" s="278"/>
      <c r="E121" s="278">
        <v>2</v>
      </c>
      <c r="F121" s="278">
        <v>1</v>
      </c>
      <c r="G121" s="322">
        <v>14.8</v>
      </c>
      <c r="H121" s="323">
        <v>15.5</v>
      </c>
      <c r="I121" s="323">
        <v>15.1</v>
      </c>
      <c r="J121" s="323">
        <v>15.9</v>
      </c>
      <c r="K121" s="323">
        <v>15</v>
      </c>
      <c r="L121" s="243">
        <v>15.5</v>
      </c>
      <c r="M121" s="278">
        <v>5</v>
      </c>
    </row>
    <row r="122" spans="1:13" ht="15.75" thickBot="1">
      <c r="A122" s="198">
        <v>1708</v>
      </c>
      <c r="B122" s="243" t="s">
        <v>243</v>
      </c>
      <c r="C122" s="287">
        <v>2</v>
      </c>
      <c r="D122" s="287"/>
      <c r="E122" s="326">
        <v>4</v>
      </c>
      <c r="F122" s="287">
        <v>3</v>
      </c>
      <c r="G122" s="327">
        <v>17.6</v>
      </c>
      <c r="H122" s="328">
        <v>22.6</v>
      </c>
      <c r="I122" s="328">
        <v>19.9</v>
      </c>
      <c r="J122" s="328">
        <v>22.4</v>
      </c>
      <c r="K122" s="328">
        <v>22.7</v>
      </c>
      <c r="L122" s="329">
        <v>23.7</v>
      </c>
      <c r="M122" s="287">
        <v>5</v>
      </c>
    </row>
    <row r="123" ht="15.75">
      <c r="E123" s="330"/>
    </row>
    <row r="124" ht="15.75">
      <c r="E124" s="331"/>
    </row>
  </sheetData>
  <sheetProtection/>
  <mergeCells count="1">
    <mergeCell ref="G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Courtois Brigitte</dc:creator>
  <cp:keywords/>
  <dc:description/>
  <cp:lastModifiedBy>ITQB</cp:lastModifiedBy>
  <dcterms:created xsi:type="dcterms:W3CDTF">2008-08-11T10:13:40Z</dcterms:created>
  <dcterms:modified xsi:type="dcterms:W3CDTF">2010-08-11T16:10:10Z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